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1"/>
  </bookViews>
  <sheets>
    <sheet name="расчет дотации" sheetId="1" r:id="rId1"/>
    <sheet name="расчет БО" sheetId="2" r:id="rId2"/>
  </sheets>
  <definedNames>
    <definedName name="_xlnm.Print_Titles" localSheetId="0">'расчет дотации'!$A:$B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<sst xmlns="http://schemas.openxmlformats.org/spreadsheetml/2006/main" count="140" uniqueCount="106">
  <si>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</si>
  <si>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</si>
  <si>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</si>
  <si>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</si>
  <si>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</si>
  <si>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</si>
  <si>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</si>
  <si>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</si>
  <si>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</si>
  <si>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</si>
  <si>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</si>
  <si>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</si>
  <si>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</si>
  <si>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</si>
  <si>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</si>
  <si>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</si>
  <si>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</si>
  <si>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</si>
  <si>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</si>
  <si>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</si>
  <si>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</si>
  <si>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</si>
  <si>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</si>
  <si>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</si>
  <si>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</si>
  <si>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</si>
  <si>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</si>
  <si>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</si>
  <si>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</si>
  <si>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</si>
  <si>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</si>
  <si>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</si>
  <si>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</si>
  <si>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</si>
  <si>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</si>
  <si>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</si>
  <si>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</si>
  <si>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</si>
  <si>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</si>
  <si>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</si>
  <si>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</si>
  <si>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</si>
  <si>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</si>
  <si>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</si>
  <si>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</si>
  <si>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</si>
  <si>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</si>
  <si>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</si>
  <si>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</si>
  <si>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</si>
  <si>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</si>
  <si>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</si>
  <si>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</si>
  <si>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</si>
  <si>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</si>
  <si>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</si>
  <si>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</si>
  <si>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Средний размер заработной платы                (Сi)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</si>
  <si>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</si>
  <si>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</si>
  <si>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</si>
  <si>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</si>
  <si>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</si>
  <si>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Рсчет бюджетной обеспеченности по муниципальным образованиям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</si>
  <si>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</si>
  <si>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</si>
  <si>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</si>
  <si>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</si>
  <si>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</si>
  <si>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</si>
  <si>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</si>
  <si>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</si>
  <si>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</si>
  <si>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</si>
  <si>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</si>
  <si>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</si>
  <si>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</si>
  <si>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</si>
  <si>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Стандарт предельной стоимости ЖКУ на 2011 г. (Хi)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</si>
  <si>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</si>
  <si>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</si>
  <si>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</si>
  <si>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</si>
  <si>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</si>
  <si>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</si>
  <si>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по отчету за 2013 год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</si>
  <si>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</si>
  <si>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</si>
  <si>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</si>
  <si>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</si>
  <si>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</si>
  <si>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2014 год</t>
  </si>
  <si>
    <t xml:space="preserve">Прогнозируемый размер поступлений по НДФЛ на 2016 год       </t>
  </si>
  <si>
    <t>Прогнозируемый размер поступлений ЕНВД на 2016 г. (тыс.руб)</t>
  </si>
  <si>
    <t>Прогнозируемый размер поступлений по налогу на имущество физических лиц на 2016 год (тыс. руб)</t>
  </si>
  <si>
    <t xml:space="preserve"> по отчету за 2015 год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</si>
  <si>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2018 год</t>
  </si>
  <si>
    <t>по годовому отчету за 2015 год</t>
  </si>
  <si>
    <t>Численность сельского населения на 01.01.2016 г., чел.</t>
  </si>
  <si>
    <t>Численность городского населения на 01.01.2016 г., чел.</t>
  </si>
  <si>
    <t>Численность населения на 01.01.2016г. (чел.)</t>
  </si>
  <si>
    <t>Число населения младше трудо-способного возраста, на 01.01.2016, чел.</t>
  </si>
  <si>
    <t xml:space="preserve">ГОДОВОЙ ФОНД ОПЛАТЫ ТРУДА ОТЧЕТ за 2012г. </t>
  </si>
  <si>
    <t xml:space="preserve">ГОДОВОЙ ФОНД ОПЛАТЫ ТРУДА ОТЧЕТ за 2013г. </t>
  </si>
  <si>
    <t xml:space="preserve">ГОДОВОЙ ФОНД ОПЛАТЫ ТРУДА ОТЧЕТ за 2014г. </t>
  </si>
  <si>
    <t xml:space="preserve">Численность населения на 01.01.2016 г.,  чел.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</si>
</sst>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Arial Cyr"/>
      <family val="0"/>
    </font>
    <font>
      <b/>
      <sz val="10"/>
      <color rgb="FF0070C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0" fontId="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7" fontId="1" fillId="0" borderId="0" xfId="57" applyNumberFormat="1" applyFont="1" applyFill="1" applyBorder="1" applyAlignment="1">
      <alignment/>
    </xf>
    <xf numFmtId="187" fontId="7" fillId="0" borderId="0" xfId="5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87" fontId="7" fillId="0" borderId="0" xfId="0" applyNumberFormat="1" applyFont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0" fontId="13" fillId="0" borderId="16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5" fillId="33" borderId="13" xfId="0" applyNumberFormat="1" applyFont="1" applyFill="1" applyBorder="1" applyAlignment="1">
      <alignment horizontal="right" vertical="top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 vertical="top" wrapText="1"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0" applyNumberFormat="1" applyFont="1" applyFill="1" applyBorder="1" applyAlignment="1" applyProtection="1">
      <alignment/>
      <protection locked="0"/>
    </xf>
    <xf numFmtId="193" fontId="5" fillId="0" borderId="13" xfId="6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2" fillId="0" borderId="13" xfId="0" applyNumberFormat="1" applyFont="1" applyFill="1" applyBorder="1" applyAlignment="1">
      <alignment horizontal="right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0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12" fillId="0" borderId="13" xfId="0" applyNumberFormat="1" applyFont="1" applyFill="1" applyBorder="1" applyAlignment="1">
      <alignment horizontal="center" vertical="top"/>
    </xf>
    <xf numFmtId="172" fontId="12" fillId="38" borderId="13" xfId="0" applyNumberFormat="1" applyFont="1" applyFill="1" applyBorder="1" applyAlignment="1">
      <alignment horizontal="center" vertical="top"/>
    </xf>
    <xf numFmtId="3" fontId="12" fillId="38" borderId="13" xfId="0" applyNumberFormat="1" applyFont="1" applyFill="1" applyBorder="1" applyAlignment="1">
      <alignment horizontal="center" vertical="top"/>
    </xf>
    <xf numFmtId="172" fontId="73" fillId="38" borderId="13" xfId="0" applyNumberFormat="1" applyFont="1" applyFill="1" applyBorder="1" applyAlignment="1">
      <alignment horizontal="right"/>
    </xf>
    <xf numFmtId="172" fontId="73" fillId="0" borderId="13" xfId="0" applyNumberFormat="1" applyFont="1" applyFill="1" applyBorder="1" applyAlignment="1">
      <alignment horizontal="right"/>
    </xf>
    <xf numFmtId="3" fontId="73" fillId="38" borderId="13" xfId="0" applyNumberFormat="1" applyFont="1" applyFill="1" applyBorder="1" applyAlignment="1">
      <alignment horizontal="right"/>
    </xf>
    <xf numFmtId="3" fontId="73" fillId="0" borderId="13" xfId="0" applyNumberFormat="1" applyFont="1" applyFill="1" applyBorder="1" applyAlignment="1">
      <alignment horizontal="right"/>
    </xf>
    <xf numFmtId="0" fontId="73" fillId="0" borderId="13" xfId="0" applyFont="1" applyFill="1" applyBorder="1" applyAlignment="1">
      <alignment horizontal="right"/>
    </xf>
    <xf numFmtId="172" fontId="73" fillId="0" borderId="13" xfId="0" applyNumberFormat="1" applyFont="1" applyFill="1" applyBorder="1" applyAlignment="1">
      <alignment horizontal="right"/>
    </xf>
    <xf numFmtId="172" fontId="74" fillId="0" borderId="13" xfId="0" applyNumberFormat="1" applyFont="1" applyFill="1" applyBorder="1" applyAlignment="1">
      <alignment horizontal="right"/>
    </xf>
    <xf numFmtId="172" fontId="75" fillId="0" borderId="13" xfId="0" applyNumberFormat="1" applyFont="1" applyFill="1" applyBorder="1" applyAlignment="1">
      <alignment horizontal="right"/>
    </xf>
    <xf numFmtId="0" fontId="75" fillId="33" borderId="13" xfId="0" applyFont="1" applyFill="1" applyBorder="1" applyAlignment="1">
      <alignment horizontal="center"/>
    </xf>
    <xf numFmtId="173" fontId="75" fillId="0" borderId="13" xfId="0" applyNumberFormat="1" applyFont="1" applyFill="1" applyBorder="1" applyAlignment="1">
      <alignment wrapText="1"/>
    </xf>
    <xf numFmtId="0" fontId="76" fillId="36" borderId="18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173" fontId="76" fillId="0" borderId="13" xfId="0" applyNumberFormat="1" applyFont="1" applyFill="1" applyBorder="1" applyAlignment="1">
      <alignment wrapText="1"/>
    </xf>
    <xf numFmtId="173" fontId="78" fillId="0" borderId="13" xfId="0" applyNumberFormat="1" applyFont="1" applyBorder="1" applyAlignment="1">
      <alignment/>
    </xf>
    <xf numFmtId="173" fontId="76" fillId="0" borderId="13" xfId="0" applyNumberFormat="1" applyFont="1" applyBorder="1" applyAlignment="1">
      <alignment/>
    </xf>
    <xf numFmtId="173" fontId="79" fillId="0" borderId="13" xfId="0" applyNumberFormat="1" applyFont="1" applyFill="1" applyBorder="1" applyAlignment="1">
      <alignment wrapText="1"/>
    </xf>
    <xf numFmtId="173" fontId="79" fillId="0" borderId="13" xfId="0" applyNumberFormat="1" applyFont="1" applyFill="1" applyBorder="1" applyAlignment="1">
      <alignment/>
    </xf>
    <xf numFmtId="3" fontId="74" fillId="0" borderId="13" xfId="0" applyNumberFormat="1" applyFont="1" applyFill="1" applyBorder="1" applyAlignment="1">
      <alignment horizontal="right"/>
    </xf>
    <xf numFmtId="0" fontId="74" fillId="0" borderId="13" xfId="0" applyFont="1" applyFill="1" applyBorder="1" applyAlignment="1">
      <alignment horizontal="right"/>
    </xf>
    <xf numFmtId="3" fontId="79" fillId="0" borderId="13" xfId="0" applyNumberFormat="1" applyFont="1" applyFill="1" applyBorder="1" applyAlignment="1">
      <alignment/>
    </xf>
    <xf numFmtId="173" fontId="74" fillId="0" borderId="13" xfId="0" applyNumberFormat="1" applyFont="1" applyFill="1" applyBorder="1" applyAlignment="1">
      <alignment horizontal="right"/>
    </xf>
    <xf numFmtId="3" fontId="75" fillId="0" borderId="13" xfId="0" applyNumberFormat="1" applyFont="1" applyFill="1" applyBorder="1" applyAlignment="1">
      <alignment/>
    </xf>
    <xf numFmtId="173" fontId="74" fillId="0" borderId="13" xfId="0" applyNumberFormat="1" applyFont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6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2" xfId="0" applyNumberFormat="1" applyFont="1" applyFill="1" applyBorder="1" applyAlignment="1">
      <alignment horizontal="justify" vertical="center"/>
    </xf>
    <xf numFmtId="172" fontId="7" fillId="33" borderId="23" xfId="0" applyNumberFormat="1" applyFont="1" applyFill="1" applyBorder="1" applyAlignment="1">
      <alignment horizontal="justify" vertical="center"/>
    </xf>
    <xf numFmtId="0" fontId="1" fillId="0" borderId="24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2" xfId="0" applyNumberFormat="1" applyFont="1" applyFill="1" applyBorder="1" applyAlignment="1">
      <alignment horizontal="center" vertical="top" wrapText="1"/>
    </xf>
    <xf numFmtId="172" fontId="17" fillId="36" borderId="25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75" fillId="36" borderId="16" xfId="0" applyFont="1" applyFill="1" applyBorder="1" applyAlignment="1">
      <alignment horizontal="center" vertical="center" wrapText="1"/>
    </xf>
    <xf numFmtId="0" fontId="75" fillId="36" borderId="27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A30" sqref="BA30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9" customWidth="1"/>
    <col min="12" max="12" width="21.25390625" style="9" customWidth="1"/>
    <col min="13" max="13" width="17.00390625" style="9" customWidth="1"/>
    <col min="14" max="14" width="12.75390625" style="1" customWidth="1"/>
    <col min="15" max="15" width="17.125" style="1" customWidth="1"/>
    <col min="16" max="16" width="16.375" style="1" customWidth="1"/>
    <col min="17" max="17" width="24.375" style="98" customWidth="1"/>
    <col min="18" max="18" width="13.375" style="1" customWidth="1"/>
    <col min="19" max="19" width="12.875" style="13" customWidth="1"/>
    <col min="20" max="20" width="20.25390625" style="1" customWidth="1"/>
    <col min="21" max="21" width="16.375" style="1" customWidth="1"/>
    <col min="22" max="22" width="13.375" style="9" customWidth="1"/>
    <col min="23" max="23" width="15.875" style="13" customWidth="1"/>
    <col min="24" max="25" width="13.375" style="1" customWidth="1"/>
    <col min="26" max="26" width="13.375" style="9" customWidth="1"/>
    <col min="27" max="27" width="15.00390625" style="10" customWidth="1"/>
    <col min="28" max="28" width="11.00390625" style="9" customWidth="1"/>
    <col min="29" max="29" width="17.375" style="9" customWidth="1"/>
    <col min="30" max="30" width="18.25390625" style="9" customWidth="1"/>
    <col min="31" max="31" width="15.00390625" style="9" customWidth="1"/>
    <col min="32" max="32" width="16.25390625" style="9" customWidth="1"/>
    <col min="33" max="34" width="15.125" style="9" customWidth="1"/>
    <col min="35" max="35" width="9.25390625" style="9" customWidth="1"/>
    <col min="36" max="36" width="14.375" style="9" customWidth="1"/>
    <col min="37" max="37" width="18.375" style="9" customWidth="1"/>
    <col min="38" max="38" width="15.00390625" style="9" customWidth="1"/>
    <col min="39" max="39" width="19.625" style="9" customWidth="1"/>
    <col min="40" max="40" width="15.00390625" style="9" customWidth="1"/>
    <col min="41" max="41" width="29.75390625" style="9" customWidth="1"/>
    <col min="42" max="42" width="15.00390625" style="9" customWidth="1"/>
    <col min="43" max="43" width="19.00390625" style="9" customWidth="1"/>
    <col min="44" max="44" width="14.875" style="9" hidden="1" customWidth="1"/>
    <col min="45" max="45" width="14.875" style="9" customWidth="1"/>
    <col min="46" max="46" width="19.125" style="9" customWidth="1"/>
    <col min="47" max="47" width="15.125" style="9" customWidth="1"/>
    <col min="48" max="48" width="14.875" style="9" customWidth="1"/>
    <col min="49" max="49" width="17.25390625" style="9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2"/>
      <c r="D1" s="2"/>
      <c r="E1" s="3" t="s">
        <v>96</v>
      </c>
      <c r="F1" s="3"/>
      <c r="G1" s="136"/>
      <c r="H1" s="136"/>
      <c r="I1" s="136"/>
      <c r="J1" s="136"/>
      <c r="K1" s="136"/>
      <c r="L1" s="136"/>
      <c r="M1" s="136"/>
      <c r="N1" s="4"/>
      <c r="O1" s="4"/>
      <c r="P1" s="5"/>
      <c r="Q1" s="6"/>
      <c r="R1" s="7"/>
      <c r="S1" s="8"/>
      <c r="W1" s="8"/>
      <c r="AX1" s="9"/>
      <c r="AY1" s="9"/>
      <c r="AZ1" s="9"/>
      <c r="BA1" s="9"/>
      <c r="BB1" s="9"/>
      <c r="BC1" s="9"/>
      <c r="BD1" s="9"/>
    </row>
    <row r="2" spans="2:56" ht="19.5" thickBot="1">
      <c r="B2" s="11"/>
      <c r="C2" s="11"/>
      <c r="D2" s="11"/>
      <c r="E2" s="12"/>
      <c r="F2" s="12"/>
      <c r="G2" s="137"/>
      <c r="H2" s="137"/>
      <c r="I2" s="137"/>
      <c r="J2" s="137"/>
      <c r="K2" s="137"/>
      <c r="L2" s="137"/>
      <c r="M2" s="137"/>
      <c r="Q2" s="1"/>
      <c r="AX2" s="9"/>
      <c r="AY2" s="9"/>
      <c r="AZ2" s="9"/>
      <c r="BA2" s="9"/>
      <c r="BB2" s="9"/>
      <c r="BC2" s="9"/>
      <c r="BD2" s="9"/>
    </row>
    <row r="3" spans="1:50" s="15" customFormat="1" ht="20.25" customHeight="1">
      <c r="A3" s="219" t="s">
        <v>0</v>
      </c>
      <c r="B3" s="222" t="s">
        <v>1</v>
      </c>
      <c r="C3" s="228" t="s">
        <v>98</v>
      </c>
      <c r="D3" s="228" t="s">
        <v>99</v>
      </c>
      <c r="E3" s="225" t="s">
        <v>100</v>
      </c>
      <c r="F3" s="225" t="s">
        <v>101</v>
      </c>
      <c r="G3" s="240" t="s">
        <v>60</v>
      </c>
      <c r="H3" s="240" t="s">
        <v>56</v>
      </c>
      <c r="I3" s="225" t="s">
        <v>57</v>
      </c>
      <c r="J3" s="240" t="s">
        <v>58</v>
      </c>
      <c r="K3" s="225" t="s">
        <v>78</v>
      </c>
      <c r="L3" s="240" t="s">
        <v>59</v>
      </c>
      <c r="M3" s="231" t="s">
        <v>48</v>
      </c>
      <c r="N3" s="225" t="s">
        <v>2</v>
      </c>
      <c r="O3" s="292" t="s">
        <v>3</v>
      </c>
      <c r="P3" s="228" t="s">
        <v>79</v>
      </c>
      <c r="Q3" s="234" t="s">
        <v>52</v>
      </c>
      <c r="R3" s="237" t="s">
        <v>4</v>
      </c>
      <c r="S3" s="237" t="s">
        <v>5</v>
      </c>
      <c r="T3" s="240" t="s">
        <v>6</v>
      </c>
      <c r="U3" s="225" t="s">
        <v>81</v>
      </c>
      <c r="V3" s="240" t="s">
        <v>54</v>
      </c>
      <c r="W3" s="225" t="s">
        <v>80</v>
      </c>
      <c r="X3" s="231" t="s">
        <v>7</v>
      </c>
      <c r="Y3" s="247" t="s">
        <v>8</v>
      </c>
      <c r="Z3" s="250" t="s">
        <v>9</v>
      </c>
      <c r="AA3" s="253" t="s">
        <v>10</v>
      </c>
      <c r="AB3" s="299" t="s">
        <v>11</v>
      </c>
      <c r="AC3" s="304" t="s">
        <v>97</v>
      </c>
      <c r="AD3" s="305"/>
      <c r="AE3" s="305"/>
      <c r="AF3" s="305"/>
      <c r="AG3" s="306"/>
      <c r="AH3" s="263" t="s">
        <v>33</v>
      </c>
      <c r="AI3" s="276"/>
      <c r="AJ3" s="270" t="s">
        <v>61</v>
      </c>
      <c r="AK3" s="104" t="s">
        <v>19</v>
      </c>
      <c r="AL3" s="104" t="s">
        <v>20</v>
      </c>
      <c r="AM3" s="273" t="s">
        <v>12</v>
      </c>
      <c r="AN3" s="284" t="s">
        <v>13</v>
      </c>
      <c r="AO3" s="14" t="s">
        <v>14</v>
      </c>
      <c r="AP3" s="105"/>
      <c r="AQ3" s="258" t="s">
        <v>15</v>
      </c>
      <c r="AR3" s="266" t="s">
        <v>16</v>
      </c>
      <c r="AS3" s="180"/>
      <c r="AT3" s="280" t="s">
        <v>34</v>
      </c>
      <c r="AU3" s="269" t="s">
        <v>17</v>
      </c>
      <c r="AV3" s="287" t="s">
        <v>16</v>
      </c>
      <c r="AW3" s="279" t="s">
        <v>18</v>
      </c>
      <c r="AX3" s="258" t="s">
        <v>55</v>
      </c>
    </row>
    <row r="4" spans="1:50" s="15" customFormat="1" ht="28.5" customHeight="1" thickBot="1">
      <c r="A4" s="220"/>
      <c r="B4" s="223"/>
      <c r="C4" s="256"/>
      <c r="D4" s="256"/>
      <c r="E4" s="226"/>
      <c r="F4" s="226"/>
      <c r="G4" s="241"/>
      <c r="H4" s="241"/>
      <c r="I4" s="245"/>
      <c r="J4" s="241"/>
      <c r="K4" s="245"/>
      <c r="L4" s="241"/>
      <c r="M4" s="243"/>
      <c r="N4" s="226"/>
      <c r="O4" s="293"/>
      <c r="P4" s="229"/>
      <c r="Q4" s="235"/>
      <c r="R4" s="238"/>
      <c r="S4" s="238"/>
      <c r="T4" s="302"/>
      <c r="U4" s="295"/>
      <c r="V4" s="297"/>
      <c r="W4" s="295"/>
      <c r="X4" s="232"/>
      <c r="Y4" s="248"/>
      <c r="Z4" s="251"/>
      <c r="AA4" s="254"/>
      <c r="AB4" s="300"/>
      <c r="AC4" s="261" t="s">
        <v>49</v>
      </c>
      <c r="AD4" s="261" t="s">
        <v>29</v>
      </c>
      <c r="AE4" s="290" t="s">
        <v>30</v>
      </c>
      <c r="AF4" s="290" t="s">
        <v>31</v>
      </c>
      <c r="AG4" s="290" t="s">
        <v>32</v>
      </c>
      <c r="AH4" s="264"/>
      <c r="AI4" s="277"/>
      <c r="AJ4" s="271"/>
      <c r="AK4" s="282" t="s">
        <v>62</v>
      </c>
      <c r="AL4" s="282" t="s">
        <v>35</v>
      </c>
      <c r="AM4" s="274"/>
      <c r="AN4" s="285"/>
      <c r="AO4" s="16"/>
      <c r="AP4" s="122"/>
      <c r="AQ4" s="259"/>
      <c r="AR4" s="267"/>
      <c r="AS4" s="181"/>
      <c r="AT4" s="281"/>
      <c r="AU4" s="269"/>
      <c r="AV4" s="288"/>
      <c r="AW4" s="279"/>
      <c r="AX4" s="259"/>
    </row>
    <row r="5" spans="1:53" s="18" customFormat="1" ht="88.5" customHeight="1" thickBot="1">
      <c r="A5" s="221"/>
      <c r="B5" s="224"/>
      <c r="C5" s="257"/>
      <c r="D5" s="257"/>
      <c r="E5" s="227"/>
      <c r="F5" s="227"/>
      <c r="G5" s="242"/>
      <c r="H5" s="242"/>
      <c r="I5" s="246"/>
      <c r="J5" s="242"/>
      <c r="K5" s="246"/>
      <c r="L5" s="242"/>
      <c r="M5" s="244"/>
      <c r="N5" s="227"/>
      <c r="O5" s="294"/>
      <c r="P5" s="230"/>
      <c r="Q5" s="236"/>
      <c r="R5" s="239"/>
      <c r="S5" s="239"/>
      <c r="T5" s="303"/>
      <c r="U5" s="296"/>
      <c r="V5" s="298"/>
      <c r="W5" s="296"/>
      <c r="X5" s="233"/>
      <c r="Y5" s="249"/>
      <c r="Z5" s="252"/>
      <c r="AA5" s="255"/>
      <c r="AB5" s="301"/>
      <c r="AC5" s="262"/>
      <c r="AD5" s="262"/>
      <c r="AE5" s="291"/>
      <c r="AF5" s="291"/>
      <c r="AG5" s="291"/>
      <c r="AH5" s="265"/>
      <c r="AI5" s="278"/>
      <c r="AJ5" s="272"/>
      <c r="AK5" s="283"/>
      <c r="AL5" s="283"/>
      <c r="AM5" s="275"/>
      <c r="AN5" s="286"/>
      <c r="AO5" s="17"/>
      <c r="AP5" s="123"/>
      <c r="AQ5" s="260"/>
      <c r="AR5" s="268"/>
      <c r="AS5" s="181" t="s">
        <v>82</v>
      </c>
      <c r="AT5" s="151" t="s">
        <v>21</v>
      </c>
      <c r="AU5" s="269"/>
      <c r="AV5" s="289"/>
      <c r="AW5" s="279"/>
      <c r="AX5" s="260"/>
      <c r="AZ5" s="182" t="s">
        <v>83</v>
      </c>
      <c r="BA5" s="182" t="s">
        <v>84</v>
      </c>
    </row>
    <row r="6" spans="1:53" s="27" customFormat="1" ht="16.5" thickBot="1">
      <c r="A6" s="19"/>
      <c r="B6" s="19">
        <v>1</v>
      </c>
      <c r="C6" s="19"/>
      <c r="D6" s="19"/>
      <c r="E6" s="19">
        <v>2</v>
      </c>
      <c r="F6" s="19"/>
      <c r="G6" s="21"/>
      <c r="H6" s="21"/>
      <c r="I6" s="21"/>
      <c r="J6" s="21"/>
      <c r="K6" s="21"/>
      <c r="L6" s="21"/>
      <c r="M6" s="21"/>
      <c r="N6" s="19">
        <v>4</v>
      </c>
      <c r="O6" s="19">
        <v>5</v>
      </c>
      <c r="P6" s="19">
        <v>7</v>
      </c>
      <c r="Q6" s="19">
        <v>8</v>
      </c>
      <c r="R6" s="19">
        <v>13</v>
      </c>
      <c r="S6" s="20">
        <v>15</v>
      </c>
      <c r="T6" s="19">
        <v>21</v>
      </c>
      <c r="U6" s="19"/>
      <c r="V6" s="21"/>
      <c r="W6" s="20">
        <v>20</v>
      </c>
      <c r="X6" s="19">
        <v>22</v>
      </c>
      <c r="Y6" s="19">
        <v>23</v>
      </c>
      <c r="Z6" s="21" t="s">
        <v>22</v>
      </c>
      <c r="AA6" s="21">
        <v>25</v>
      </c>
      <c r="AB6" s="21">
        <v>26</v>
      </c>
      <c r="AC6" s="21"/>
      <c r="AD6" s="21"/>
      <c r="AE6" s="21"/>
      <c r="AF6" s="21"/>
      <c r="AG6" s="21"/>
      <c r="AH6" s="21">
        <v>27</v>
      </c>
      <c r="AI6" s="22">
        <v>28</v>
      </c>
      <c r="AJ6" s="22">
        <v>29</v>
      </c>
      <c r="AK6" s="22">
        <v>30</v>
      </c>
      <c r="AL6" s="23">
        <v>31</v>
      </c>
      <c r="AM6" s="23">
        <v>32</v>
      </c>
      <c r="AN6" s="23">
        <v>33</v>
      </c>
      <c r="AO6" s="24"/>
      <c r="AP6" s="23">
        <v>100</v>
      </c>
      <c r="AQ6" s="23">
        <v>38</v>
      </c>
      <c r="AR6" s="25">
        <v>39</v>
      </c>
      <c r="AS6" s="25"/>
      <c r="AT6" s="152">
        <v>1432.5</v>
      </c>
      <c r="AU6" s="153">
        <v>41</v>
      </c>
      <c r="AV6" s="154">
        <v>39</v>
      </c>
      <c r="AW6" s="26"/>
      <c r="AX6" s="26">
        <v>44</v>
      </c>
      <c r="AZ6" s="19"/>
      <c r="BA6" s="19"/>
    </row>
    <row r="7" spans="1:53" s="9" customFormat="1" ht="15.75">
      <c r="A7" s="21">
        <v>1</v>
      </c>
      <c r="B7" s="143" t="s">
        <v>64</v>
      </c>
      <c r="C7" s="320">
        <f>'расчет БО'!C6</f>
        <v>520</v>
      </c>
      <c r="D7" s="28"/>
      <c r="E7" s="29">
        <v>509</v>
      </c>
      <c r="F7" s="29">
        <v>121</v>
      </c>
      <c r="G7" s="138">
        <v>0.995</v>
      </c>
      <c r="H7" s="138">
        <v>1.075</v>
      </c>
      <c r="I7" s="140">
        <v>11019</v>
      </c>
      <c r="J7" s="141">
        <v>1.063</v>
      </c>
      <c r="K7" s="144">
        <v>48.91</v>
      </c>
      <c r="L7" s="141">
        <v>1</v>
      </c>
      <c r="M7" s="176">
        <v>1.0378</v>
      </c>
      <c r="N7" s="29">
        <v>200</v>
      </c>
      <c r="O7" s="195">
        <v>11</v>
      </c>
      <c r="P7" s="193">
        <v>3.5</v>
      </c>
      <c r="Q7" s="194"/>
      <c r="R7" s="197">
        <v>18</v>
      </c>
      <c r="S7" s="197">
        <v>64</v>
      </c>
      <c r="T7" s="30">
        <f>S7+R7+P7+O7</f>
        <v>96.5</v>
      </c>
      <c r="U7" s="200">
        <v>0.5</v>
      </c>
      <c r="V7" s="31">
        <v>10</v>
      </c>
      <c r="W7" s="200">
        <v>0</v>
      </c>
      <c r="X7" s="201">
        <f>T7+U7+W7</f>
        <v>97</v>
      </c>
      <c r="Y7" s="146">
        <v>1550</v>
      </c>
      <c r="Z7" s="148">
        <f>Y7-X7</f>
        <v>1453</v>
      </c>
      <c r="AA7" s="119">
        <f>'расчет БО'!AG6</f>
        <v>4.4</v>
      </c>
      <c r="AB7" s="177">
        <f>'расчет БО'!AI6</f>
        <v>0.431411</v>
      </c>
      <c r="AC7" s="124">
        <f>'расчет БО'!T6/1000</f>
        <v>13.8</v>
      </c>
      <c r="AD7" s="124"/>
      <c r="AE7" s="124">
        <f>'расчет БО'!V6/1000</f>
        <v>55.7</v>
      </c>
      <c r="AF7" s="124">
        <f>'расчет БО'!W6/1000</f>
        <v>100.4</v>
      </c>
      <c r="AG7" s="65">
        <f>SUM(AC7:AF7)</f>
        <v>169.9</v>
      </c>
      <c r="AH7" s="121">
        <f aca="true" t="shared" si="0" ref="AH7:AH20">AG7/E7</f>
        <v>0.33</v>
      </c>
      <c r="AI7" s="32"/>
      <c r="AJ7" s="33">
        <f aca="true" t="shared" si="1" ref="AJ7:AJ18">IF(AH7&gt;=$AH$20*$AJ$20,1,0)</f>
        <v>0</v>
      </c>
      <c r="AK7" s="34">
        <f aca="true" t="shared" si="2" ref="AK7:AK15">IF(OR(X7&lt;Y7,(AJ7=0)),0,IF((0.5*(AH7-$AH$20*$AJ$20)*E7)&gt;(X7-Y7),(X7-Y7),0.5*(AH7-$AH$20*$AJ$20)*E7))</f>
        <v>0</v>
      </c>
      <c r="AL7" s="34">
        <f aca="true" t="shared" si="3" ref="AL7:AL19">IF(AJ7=0,0,0.5*(AB7-$AB$25)*E7*$T$20/E$20)</f>
        <v>0</v>
      </c>
      <c r="AM7" s="34">
        <f aca="true" t="shared" si="4" ref="AM7:AM12">IF(MIN(AK7,AL7)&lt;0,0,MIN(AK7,AL7))</f>
        <v>0</v>
      </c>
      <c r="AN7" s="35">
        <f aca="true" t="shared" si="5" ref="AN7:AN20">AB7-AM7/(E7*$T$20/$E$20)</f>
        <v>0.431</v>
      </c>
      <c r="AO7" s="36"/>
      <c r="AP7" s="125">
        <f>ROUND(IF(AN7&gt;AO$18,0,(AO$18-AN7)*V$20*M7*E7)/1000,1)</f>
        <v>150.9</v>
      </c>
      <c r="AQ7" s="38">
        <f aca="true" t="shared" si="6" ref="AQ7:AQ20">AN7+AP7/(E7*T$20/E$20)</f>
        <v>1.612</v>
      </c>
      <c r="AR7" s="39">
        <f>Z7-AT7-AP7</f>
        <v>1254</v>
      </c>
      <c r="AS7" s="39">
        <f>Z7-AT7-AP7</f>
        <v>1254</v>
      </c>
      <c r="AT7" s="40">
        <f aca="true" t="shared" si="7" ref="AT7:AT19">ROUND(E7/E$20*AT$6,1)</f>
        <v>48.1</v>
      </c>
      <c r="AU7" s="29">
        <f>C7</f>
        <v>520</v>
      </c>
      <c r="AV7" s="39">
        <f aca="true" t="shared" si="8" ref="AV7:AV18">Z7-AT7</f>
        <v>1404.9</v>
      </c>
      <c r="AW7" s="149">
        <f>AP7+AT7</f>
        <v>199</v>
      </c>
      <c r="AX7" s="41">
        <f aca="true" t="shared" si="9" ref="AX7:AX20">AN7+AW7/(E7*T$20/E$20)</f>
        <v>1.989</v>
      </c>
      <c r="AY7" s="150"/>
      <c r="AZ7" s="183">
        <f>AP7+AT7</f>
        <v>199</v>
      </c>
      <c r="BA7" s="184">
        <f>AS7</f>
        <v>1254</v>
      </c>
    </row>
    <row r="8" spans="1:53" s="9" customFormat="1" ht="17.25" customHeight="1">
      <c r="A8" s="21">
        <v>2</v>
      </c>
      <c r="B8" s="143" t="s">
        <v>65</v>
      </c>
      <c r="C8" s="320">
        <f>'расчет БО'!C7</f>
        <v>512</v>
      </c>
      <c r="D8" s="42"/>
      <c r="E8" s="29">
        <v>524</v>
      </c>
      <c r="F8" s="29">
        <v>134</v>
      </c>
      <c r="G8" s="138">
        <v>1.033</v>
      </c>
      <c r="H8" s="138">
        <v>1.075</v>
      </c>
      <c r="I8" s="140">
        <v>8979</v>
      </c>
      <c r="J8" s="141">
        <v>0.9</v>
      </c>
      <c r="K8" s="144">
        <v>48.91</v>
      </c>
      <c r="L8" s="141">
        <v>1</v>
      </c>
      <c r="M8" s="176">
        <v>0.94</v>
      </c>
      <c r="N8" s="29">
        <v>200</v>
      </c>
      <c r="O8" s="196">
        <v>7</v>
      </c>
      <c r="P8" s="192">
        <v>15.2</v>
      </c>
      <c r="Q8" s="194"/>
      <c r="R8" s="198">
        <v>15</v>
      </c>
      <c r="S8" s="198">
        <v>26</v>
      </c>
      <c r="T8" s="30">
        <f aca="true" t="shared" si="10" ref="T8:T19">S8+R8+P8+O8</f>
        <v>63.2</v>
      </c>
      <c r="U8" s="200">
        <v>0.9</v>
      </c>
      <c r="V8" s="31">
        <v>8</v>
      </c>
      <c r="W8" s="200">
        <v>0</v>
      </c>
      <c r="X8" s="201">
        <f aca="true" t="shared" si="11" ref="X8:X19">T8+U8+W8</f>
        <v>64.1</v>
      </c>
      <c r="Y8" s="146">
        <v>1550</v>
      </c>
      <c r="Z8" s="148">
        <f aca="true" t="shared" si="12" ref="Z8:Z18">Y8-X8</f>
        <v>1485.9</v>
      </c>
      <c r="AA8" s="119">
        <f>'расчет БО'!AG7</f>
        <v>3.4</v>
      </c>
      <c r="AB8" s="177">
        <f>'расчет БО'!AI7</f>
        <v>0.376781</v>
      </c>
      <c r="AC8" s="124">
        <f>'расчет БО'!T7/1000</f>
        <v>7.8</v>
      </c>
      <c r="AD8" s="124"/>
      <c r="AE8" s="124">
        <f>'расчет БО'!V7/1000</f>
        <v>30.4</v>
      </c>
      <c r="AF8" s="124">
        <f>'расчет БО'!W7/1000</f>
        <v>93</v>
      </c>
      <c r="AG8" s="65">
        <f aca="true" t="shared" si="13" ref="AG8:AG18">SUM(AC8:AF8)</f>
        <v>131.2</v>
      </c>
      <c r="AH8" s="121">
        <f t="shared" si="0"/>
        <v>0.25</v>
      </c>
      <c r="AI8" s="32"/>
      <c r="AJ8" s="33">
        <f t="shared" si="1"/>
        <v>0</v>
      </c>
      <c r="AK8" s="34">
        <f t="shared" si="2"/>
        <v>0</v>
      </c>
      <c r="AL8" s="34">
        <f t="shared" si="3"/>
        <v>0</v>
      </c>
      <c r="AM8" s="34">
        <f t="shared" si="4"/>
        <v>0</v>
      </c>
      <c r="AN8" s="35">
        <f t="shared" si="5"/>
        <v>0.377</v>
      </c>
      <c r="AO8" s="43" t="s">
        <v>28</v>
      </c>
      <c r="AP8" s="125">
        <f aca="true" t="shared" si="14" ref="AP8:AP19">ROUND(IF(AN8&gt;AO$18,0,(AO$18-AN8)*V$20*M8*E8)/1000,1)</f>
        <v>142.8</v>
      </c>
      <c r="AQ8" s="38">
        <f t="shared" si="6"/>
        <v>1.463</v>
      </c>
      <c r="AR8" s="39">
        <f>Z8-AT8-AP8</f>
        <v>1293.6</v>
      </c>
      <c r="AS8" s="39">
        <f aca="true" t="shared" si="15" ref="AS8:AS20">Z8-AT8-AP8</f>
        <v>1293.6</v>
      </c>
      <c r="AT8" s="40">
        <f t="shared" si="7"/>
        <v>49.5</v>
      </c>
      <c r="AU8" s="29">
        <f aca="true" t="shared" si="16" ref="AU8:AU18">C8</f>
        <v>512</v>
      </c>
      <c r="AV8" s="39">
        <f t="shared" si="8"/>
        <v>1436.4</v>
      </c>
      <c r="AW8" s="149">
        <f aca="true" t="shared" si="17" ref="AW8:AW20">AP8+AT8</f>
        <v>192.3</v>
      </c>
      <c r="AX8" s="41">
        <f t="shared" si="9"/>
        <v>1.839</v>
      </c>
      <c r="AY8" s="150"/>
      <c r="AZ8" s="183">
        <f aca="true" t="shared" si="18" ref="AZ8:AZ20">AP8+AT8</f>
        <v>192.3</v>
      </c>
      <c r="BA8" s="184">
        <f aca="true" t="shared" si="19" ref="BA8:BA20">AS8</f>
        <v>1293.6</v>
      </c>
    </row>
    <row r="9" spans="1:53" s="9" customFormat="1" ht="15.75">
      <c r="A9" s="21">
        <v>3</v>
      </c>
      <c r="B9" s="143" t="s">
        <v>66</v>
      </c>
      <c r="C9" s="320">
        <f>'расчет БО'!C8</f>
        <v>526</v>
      </c>
      <c r="D9" s="42"/>
      <c r="E9" s="29">
        <v>538</v>
      </c>
      <c r="F9" s="29">
        <v>145</v>
      </c>
      <c r="G9" s="138">
        <v>1.062</v>
      </c>
      <c r="H9" s="138">
        <v>1.075</v>
      </c>
      <c r="I9" s="140">
        <v>8896</v>
      </c>
      <c r="J9" s="141">
        <v>0.916</v>
      </c>
      <c r="K9" s="144">
        <v>48.91</v>
      </c>
      <c r="L9" s="141">
        <v>1</v>
      </c>
      <c r="M9" s="176">
        <v>0.9496</v>
      </c>
      <c r="N9" s="29">
        <v>800</v>
      </c>
      <c r="O9" s="196">
        <v>167.8</v>
      </c>
      <c r="P9" s="192">
        <v>7.9</v>
      </c>
      <c r="Q9" s="193"/>
      <c r="R9" s="198">
        <v>11</v>
      </c>
      <c r="S9" s="198">
        <v>66</v>
      </c>
      <c r="T9" s="30">
        <f t="shared" si="10"/>
        <v>252.7</v>
      </c>
      <c r="U9" s="200">
        <v>1.9</v>
      </c>
      <c r="V9" s="31">
        <v>9</v>
      </c>
      <c r="W9" s="200">
        <v>6</v>
      </c>
      <c r="X9" s="201">
        <f t="shared" si="11"/>
        <v>260.6</v>
      </c>
      <c r="Y9" s="146">
        <v>1550</v>
      </c>
      <c r="Z9" s="148">
        <f t="shared" si="12"/>
        <v>1289.4</v>
      </c>
      <c r="AA9" s="119">
        <f>'расчет БО'!AG8</f>
        <v>6.1</v>
      </c>
      <c r="AB9" s="177">
        <f>'расчет БО'!AI8</f>
        <v>0.647412</v>
      </c>
      <c r="AC9" s="124">
        <f>'расчет БО'!T8/1000</f>
        <v>152.5</v>
      </c>
      <c r="AD9" s="124"/>
      <c r="AE9" s="124">
        <f>'расчет БО'!V8/1000</f>
        <v>39.9</v>
      </c>
      <c r="AF9" s="124">
        <f>'расчет БО'!W8/1000</f>
        <v>95.2</v>
      </c>
      <c r="AG9" s="65">
        <f t="shared" si="13"/>
        <v>287.6</v>
      </c>
      <c r="AH9" s="121">
        <f t="shared" si="0"/>
        <v>0.53</v>
      </c>
      <c r="AI9" s="32"/>
      <c r="AJ9" s="33">
        <f t="shared" si="1"/>
        <v>0</v>
      </c>
      <c r="AK9" s="34">
        <f t="shared" si="2"/>
        <v>0</v>
      </c>
      <c r="AL9" s="34">
        <f t="shared" si="3"/>
        <v>0</v>
      </c>
      <c r="AM9" s="34">
        <f t="shared" si="4"/>
        <v>0</v>
      </c>
      <c r="AN9" s="35">
        <f t="shared" si="5"/>
        <v>0.647</v>
      </c>
      <c r="AO9" s="37">
        <f>AM20</f>
        <v>0</v>
      </c>
      <c r="AP9" s="125">
        <f t="shared" si="14"/>
        <v>137.4</v>
      </c>
      <c r="AQ9" s="38">
        <f t="shared" si="6"/>
        <v>1.665</v>
      </c>
      <c r="AR9" s="39">
        <f>Z9-AT9-AP9</f>
        <v>1101.2</v>
      </c>
      <c r="AS9" s="39">
        <f t="shared" si="15"/>
        <v>1101.2</v>
      </c>
      <c r="AT9" s="40">
        <f t="shared" si="7"/>
        <v>50.8</v>
      </c>
      <c r="AU9" s="29">
        <f t="shared" si="16"/>
        <v>526</v>
      </c>
      <c r="AV9" s="39">
        <f t="shared" si="8"/>
        <v>1238.6</v>
      </c>
      <c r="AW9" s="149">
        <f t="shared" si="17"/>
        <v>188.2</v>
      </c>
      <c r="AX9" s="41">
        <f t="shared" si="9"/>
        <v>2.041</v>
      </c>
      <c r="AY9" s="150"/>
      <c r="AZ9" s="183">
        <f t="shared" si="18"/>
        <v>188.2</v>
      </c>
      <c r="BA9" s="184">
        <f t="shared" si="19"/>
        <v>1101.2</v>
      </c>
    </row>
    <row r="10" spans="1:53" s="9" customFormat="1" ht="16.5" customHeight="1">
      <c r="A10" s="21">
        <v>4</v>
      </c>
      <c r="B10" s="143" t="s">
        <v>67</v>
      </c>
      <c r="C10" s="320">
        <f>'расчет БО'!C9</f>
        <v>472</v>
      </c>
      <c r="D10" s="42"/>
      <c r="E10" s="29">
        <v>493</v>
      </c>
      <c r="F10" s="29">
        <v>138</v>
      </c>
      <c r="G10" s="138">
        <v>1.083</v>
      </c>
      <c r="H10" s="138">
        <v>1.075</v>
      </c>
      <c r="I10" s="140">
        <v>9477</v>
      </c>
      <c r="J10" s="141">
        <v>0.995</v>
      </c>
      <c r="K10" s="144">
        <v>48.91</v>
      </c>
      <c r="L10" s="141">
        <v>1</v>
      </c>
      <c r="M10" s="176">
        <v>0.997</v>
      </c>
      <c r="N10" s="29">
        <v>200</v>
      </c>
      <c r="O10" s="196">
        <v>13</v>
      </c>
      <c r="P10" s="192">
        <v>4</v>
      </c>
      <c r="Q10" s="194"/>
      <c r="R10" s="198">
        <v>20</v>
      </c>
      <c r="S10" s="198">
        <v>59</v>
      </c>
      <c r="T10" s="30">
        <f t="shared" si="10"/>
        <v>96</v>
      </c>
      <c r="U10" s="200">
        <v>1.3</v>
      </c>
      <c r="V10" s="31">
        <v>10</v>
      </c>
      <c r="W10" s="200">
        <v>20</v>
      </c>
      <c r="X10" s="201">
        <f t="shared" si="11"/>
        <v>117.3</v>
      </c>
      <c r="Y10" s="146">
        <v>1550</v>
      </c>
      <c r="Z10" s="148">
        <f t="shared" si="12"/>
        <v>1432.7</v>
      </c>
      <c r="AA10" s="119">
        <f>'расчет БО'!AG9</f>
        <v>3.3</v>
      </c>
      <c r="AB10" s="177">
        <f>'расчет БО'!AI9</f>
        <v>0.377773</v>
      </c>
      <c r="AC10" s="124">
        <f>'расчет БО'!T9/1000</f>
        <v>17.3</v>
      </c>
      <c r="AD10" s="124"/>
      <c r="AE10" s="124">
        <f>'расчет БО'!V9/1000</f>
        <v>40.7</v>
      </c>
      <c r="AF10" s="124">
        <f>'расчет БО'!W9/1000</f>
        <v>92.3</v>
      </c>
      <c r="AG10" s="65">
        <f t="shared" si="13"/>
        <v>150.3</v>
      </c>
      <c r="AH10" s="121">
        <f t="shared" si="0"/>
        <v>0.3</v>
      </c>
      <c r="AI10" s="32"/>
      <c r="AJ10" s="33">
        <f t="shared" si="1"/>
        <v>0</v>
      </c>
      <c r="AK10" s="34">
        <f t="shared" si="2"/>
        <v>0</v>
      </c>
      <c r="AL10" s="34">
        <f t="shared" si="3"/>
        <v>0</v>
      </c>
      <c r="AM10" s="34">
        <f t="shared" si="4"/>
        <v>0</v>
      </c>
      <c r="AN10" s="35">
        <f t="shared" si="5"/>
        <v>0.378</v>
      </c>
      <c r="AO10" s="44"/>
      <c r="AP10" s="125">
        <f t="shared" si="14"/>
        <v>142.5</v>
      </c>
      <c r="AQ10" s="38">
        <f t="shared" si="6"/>
        <v>1.53</v>
      </c>
      <c r="AR10" s="39">
        <f aca="true" t="shared" si="20" ref="AR10:AR18">Z10-AT10-AP10</f>
        <v>1243.6</v>
      </c>
      <c r="AS10" s="39">
        <f t="shared" si="15"/>
        <v>1243.6</v>
      </c>
      <c r="AT10" s="40">
        <f t="shared" si="7"/>
        <v>46.6</v>
      </c>
      <c r="AU10" s="29">
        <f t="shared" si="16"/>
        <v>472</v>
      </c>
      <c r="AV10" s="39">
        <f t="shared" si="8"/>
        <v>1386.1</v>
      </c>
      <c r="AW10" s="149">
        <f t="shared" si="17"/>
        <v>189.1</v>
      </c>
      <c r="AX10" s="41">
        <f t="shared" si="9"/>
        <v>1.906</v>
      </c>
      <c r="AY10" s="150"/>
      <c r="AZ10" s="183">
        <f t="shared" si="18"/>
        <v>189.1</v>
      </c>
      <c r="BA10" s="184">
        <f t="shared" si="19"/>
        <v>1243.6</v>
      </c>
    </row>
    <row r="11" spans="1:53" s="9" customFormat="1" ht="17.25" customHeight="1">
      <c r="A11" s="21">
        <v>5</v>
      </c>
      <c r="B11" s="143" t="s">
        <v>68</v>
      </c>
      <c r="C11" s="320">
        <f>'расчет БО'!C10</f>
        <v>846</v>
      </c>
      <c r="D11" s="42"/>
      <c r="E11" s="29">
        <v>893</v>
      </c>
      <c r="F11" s="29">
        <v>223</v>
      </c>
      <c r="G11" s="138">
        <v>1.02</v>
      </c>
      <c r="H11" s="138">
        <v>1.075</v>
      </c>
      <c r="I11" s="140">
        <v>11874</v>
      </c>
      <c r="J11" s="141">
        <v>1.175</v>
      </c>
      <c r="K11" s="144">
        <v>48.91</v>
      </c>
      <c r="L11" s="141">
        <v>1</v>
      </c>
      <c r="M11" s="176">
        <v>1.105</v>
      </c>
      <c r="N11" s="29">
        <v>400</v>
      </c>
      <c r="O11" s="196">
        <v>41</v>
      </c>
      <c r="P11" s="192">
        <v>0</v>
      </c>
      <c r="Q11" s="194"/>
      <c r="R11" s="198">
        <v>18</v>
      </c>
      <c r="S11" s="198">
        <v>25</v>
      </c>
      <c r="T11" s="30">
        <f t="shared" si="10"/>
        <v>84</v>
      </c>
      <c r="U11" s="200">
        <v>5.6</v>
      </c>
      <c r="V11" s="31">
        <v>16</v>
      </c>
      <c r="W11" s="200">
        <v>20</v>
      </c>
      <c r="X11" s="201">
        <f t="shared" si="11"/>
        <v>109.6</v>
      </c>
      <c r="Y11" s="146">
        <v>1750</v>
      </c>
      <c r="Z11" s="148">
        <f t="shared" si="12"/>
        <v>1640.4</v>
      </c>
      <c r="AA11" s="119">
        <f>'расчет БО'!AG10</f>
        <v>3.3</v>
      </c>
      <c r="AB11" s="177">
        <f>'расчет БО'!AI10</f>
        <v>0.186015</v>
      </c>
      <c r="AC11" s="124">
        <f>'расчет БО'!T10/1000</f>
        <v>37.2</v>
      </c>
      <c r="AD11" s="124"/>
      <c r="AE11" s="124">
        <f>'расчет БО'!V10/1000</f>
        <v>46</v>
      </c>
      <c r="AF11" s="124">
        <f>'расчет БО'!W10/1000</f>
        <v>55.1</v>
      </c>
      <c r="AG11" s="65">
        <f t="shared" si="13"/>
        <v>138.3</v>
      </c>
      <c r="AH11" s="121">
        <f t="shared" si="0"/>
        <v>0.15</v>
      </c>
      <c r="AI11" s="32"/>
      <c r="AJ11" s="33">
        <f t="shared" si="1"/>
        <v>0</v>
      </c>
      <c r="AK11" s="34">
        <f t="shared" si="2"/>
        <v>0</v>
      </c>
      <c r="AL11" s="34">
        <f t="shared" si="3"/>
        <v>0</v>
      </c>
      <c r="AM11" s="34">
        <f t="shared" si="4"/>
        <v>0</v>
      </c>
      <c r="AN11" s="35">
        <f t="shared" si="5"/>
        <v>0.186</v>
      </c>
      <c r="AO11" s="44"/>
      <c r="AP11" s="125">
        <f t="shared" si="14"/>
        <v>300.8</v>
      </c>
      <c r="AQ11" s="38">
        <f t="shared" si="6"/>
        <v>1.528</v>
      </c>
      <c r="AR11" s="39">
        <f t="shared" si="20"/>
        <v>1255.2</v>
      </c>
      <c r="AS11" s="39">
        <f t="shared" si="15"/>
        <v>1255.2</v>
      </c>
      <c r="AT11" s="40">
        <f t="shared" si="7"/>
        <v>84.4</v>
      </c>
      <c r="AU11" s="29">
        <f t="shared" si="16"/>
        <v>846</v>
      </c>
      <c r="AV11" s="39">
        <f t="shared" si="8"/>
        <v>1556</v>
      </c>
      <c r="AW11" s="149">
        <f t="shared" si="17"/>
        <v>385.2</v>
      </c>
      <c r="AX11" s="41">
        <f t="shared" si="9"/>
        <v>1.905</v>
      </c>
      <c r="AY11" s="150"/>
      <c r="AZ11" s="183">
        <f t="shared" si="18"/>
        <v>385.2</v>
      </c>
      <c r="BA11" s="184">
        <f t="shared" si="19"/>
        <v>1255.2</v>
      </c>
    </row>
    <row r="12" spans="1:53" s="9" customFormat="1" ht="15.75">
      <c r="A12" s="21">
        <v>6</v>
      </c>
      <c r="B12" s="143" t="s">
        <v>69</v>
      </c>
      <c r="C12" s="320">
        <f>'расчет БО'!C11</f>
        <v>551</v>
      </c>
      <c r="D12" s="42"/>
      <c r="E12" s="29">
        <v>553</v>
      </c>
      <c r="F12" s="29">
        <v>142</v>
      </c>
      <c r="G12" s="138">
        <v>1.035</v>
      </c>
      <c r="H12" s="138">
        <v>1.075</v>
      </c>
      <c r="I12" s="140">
        <v>9072</v>
      </c>
      <c r="J12" s="141">
        <v>0.911</v>
      </c>
      <c r="K12" s="144">
        <v>48.91</v>
      </c>
      <c r="L12" s="141">
        <v>1</v>
      </c>
      <c r="M12" s="176">
        <v>0.9466</v>
      </c>
      <c r="N12" s="29">
        <v>150</v>
      </c>
      <c r="O12" s="196">
        <v>11</v>
      </c>
      <c r="P12" s="192">
        <v>8</v>
      </c>
      <c r="Q12" s="194"/>
      <c r="R12" s="198">
        <v>19</v>
      </c>
      <c r="S12" s="198">
        <v>57</v>
      </c>
      <c r="T12" s="30">
        <f t="shared" si="10"/>
        <v>95</v>
      </c>
      <c r="U12" s="200">
        <v>0</v>
      </c>
      <c r="V12" s="31">
        <v>4</v>
      </c>
      <c r="W12" s="200">
        <v>0</v>
      </c>
      <c r="X12" s="201">
        <f t="shared" si="11"/>
        <v>95</v>
      </c>
      <c r="Y12" s="146">
        <v>1500</v>
      </c>
      <c r="Z12" s="148">
        <f t="shared" si="12"/>
        <v>1405</v>
      </c>
      <c r="AA12" s="119">
        <f>'расчет БО'!AG11</f>
        <v>3.1</v>
      </c>
      <c r="AB12" s="177">
        <f>'расчет БО'!AI11</f>
        <v>0.314841</v>
      </c>
      <c r="AC12" s="124">
        <f>'расчет БО'!T11/1000</f>
        <v>13.7</v>
      </c>
      <c r="AD12" s="124"/>
      <c r="AE12" s="124">
        <f>'расчет БО'!V11/1000</f>
        <v>28.6</v>
      </c>
      <c r="AF12" s="124">
        <f>'расчет БО'!W11/1000</f>
        <v>75.9</v>
      </c>
      <c r="AG12" s="65">
        <f t="shared" si="13"/>
        <v>118.2</v>
      </c>
      <c r="AH12" s="121">
        <f t="shared" si="0"/>
        <v>0.21</v>
      </c>
      <c r="AI12" s="32"/>
      <c r="AJ12" s="33">
        <f t="shared" si="1"/>
        <v>0</v>
      </c>
      <c r="AK12" s="34">
        <f t="shared" si="2"/>
        <v>0</v>
      </c>
      <c r="AL12" s="34">
        <f t="shared" si="3"/>
        <v>0</v>
      </c>
      <c r="AM12" s="34">
        <f t="shared" si="4"/>
        <v>0</v>
      </c>
      <c r="AN12" s="35">
        <f t="shared" si="5"/>
        <v>0.315</v>
      </c>
      <c r="AO12" s="45" t="s">
        <v>23</v>
      </c>
      <c r="AP12" s="125">
        <f t="shared" si="14"/>
        <v>154.3</v>
      </c>
      <c r="AQ12" s="38">
        <f t="shared" si="6"/>
        <v>1.427</v>
      </c>
      <c r="AR12" s="39">
        <f t="shared" si="20"/>
        <v>1198.5</v>
      </c>
      <c r="AS12" s="39">
        <f t="shared" si="15"/>
        <v>1198.5</v>
      </c>
      <c r="AT12" s="40">
        <f t="shared" si="7"/>
        <v>52.2</v>
      </c>
      <c r="AU12" s="29">
        <f t="shared" si="16"/>
        <v>551</v>
      </c>
      <c r="AV12" s="39">
        <f t="shared" si="8"/>
        <v>1352.8</v>
      </c>
      <c r="AW12" s="149">
        <f t="shared" si="17"/>
        <v>206.5</v>
      </c>
      <c r="AX12" s="41">
        <f t="shared" si="9"/>
        <v>1.803</v>
      </c>
      <c r="AY12" s="150"/>
      <c r="AZ12" s="183">
        <f t="shared" si="18"/>
        <v>206.5</v>
      </c>
      <c r="BA12" s="184">
        <f t="shared" si="19"/>
        <v>1198.5</v>
      </c>
    </row>
    <row r="13" spans="1:53" s="9" customFormat="1" ht="15.75">
      <c r="A13" s="21">
        <v>7</v>
      </c>
      <c r="B13" s="143" t="s">
        <v>70</v>
      </c>
      <c r="C13" s="320">
        <f>'расчет БО'!C12</f>
        <v>723</v>
      </c>
      <c r="D13" s="42"/>
      <c r="E13" s="29">
        <v>722</v>
      </c>
      <c r="F13" s="29">
        <v>157</v>
      </c>
      <c r="G13" s="138">
        <v>0.953</v>
      </c>
      <c r="H13" s="138">
        <v>1.075</v>
      </c>
      <c r="I13" s="140">
        <v>9921</v>
      </c>
      <c r="J13" s="141">
        <v>0.917</v>
      </c>
      <c r="K13" s="144">
        <v>48.91</v>
      </c>
      <c r="L13" s="141">
        <v>1</v>
      </c>
      <c r="M13" s="176">
        <v>0.9502</v>
      </c>
      <c r="N13" s="29">
        <v>180</v>
      </c>
      <c r="O13" s="196">
        <v>11</v>
      </c>
      <c r="P13" s="192">
        <v>32.7</v>
      </c>
      <c r="Q13" s="194"/>
      <c r="R13" s="198">
        <v>26</v>
      </c>
      <c r="S13" s="198">
        <v>114</v>
      </c>
      <c r="T13" s="30">
        <f t="shared" si="10"/>
        <v>183.7</v>
      </c>
      <c r="U13" s="200">
        <v>0</v>
      </c>
      <c r="V13" s="31">
        <v>3</v>
      </c>
      <c r="W13" s="200">
        <v>40</v>
      </c>
      <c r="X13" s="201">
        <f t="shared" si="11"/>
        <v>223.7</v>
      </c>
      <c r="Y13" s="146">
        <v>1400</v>
      </c>
      <c r="Z13" s="148">
        <f t="shared" si="12"/>
        <v>1176.3</v>
      </c>
      <c r="AA13" s="119">
        <f>'расчет БО'!AG12</f>
        <v>8.7</v>
      </c>
      <c r="AB13" s="177">
        <f>'расчет БО'!AI12</f>
        <v>0.67282</v>
      </c>
      <c r="AC13" s="124">
        <f>'расчет БО'!T12/1000</f>
        <v>15.2</v>
      </c>
      <c r="AD13" s="124"/>
      <c r="AE13" s="124">
        <f>'расчет БО'!V12/1000</f>
        <v>36.3</v>
      </c>
      <c r="AF13" s="124">
        <f>'расчет БО'!W12/1000</f>
        <v>108.7</v>
      </c>
      <c r="AG13" s="65">
        <f t="shared" si="13"/>
        <v>160.2</v>
      </c>
      <c r="AH13" s="121">
        <f t="shared" si="0"/>
        <v>0.22</v>
      </c>
      <c r="AI13" s="32"/>
      <c r="AJ13" s="33">
        <f t="shared" si="1"/>
        <v>0</v>
      </c>
      <c r="AK13" s="34">
        <f t="shared" si="2"/>
        <v>0</v>
      </c>
      <c r="AL13" s="34">
        <f t="shared" si="3"/>
        <v>0</v>
      </c>
      <c r="AM13" s="34">
        <f aca="true" t="shared" si="21" ref="AM13:AM18">IF(MIN(AK13,AL13)&lt;0,0,MIN(AK13,AL13))</f>
        <v>0</v>
      </c>
      <c r="AN13" s="35">
        <f t="shared" si="5"/>
        <v>0.673</v>
      </c>
      <c r="AO13" s="37">
        <v>12876</v>
      </c>
      <c r="AP13" s="125">
        <f t="shared" si="14"/>
        <v>183.1</v>
      </c>
      <c r="AQ13" s="38">
        <f t="shared" si="6"/>
        <v>1.683</v>
      </c>
      <c r="AR13" s="39">
        <f t="shared" si="20"/>
        <v>925</v>
      </c>
      <c r="AS13" s="39">
        <f t="shared" si="15"/>
        <v>925</v>
      </c>
      <c r="AT13" s="40">
        <f t="shared" si="7"/>
        <v>68.2</v>
      </c>
      <c r="AU13" s="29">
        <f t="shared" si="16"/>
        <v>723</v>
      </c>
      <c r="AV13" s="39">
        <f t="shared" si="8"/>
        <v>1108.1</v>
      </c>
      <c r="AW13" s="149">
        <f t="shared" si="17"/>
        <v>251.3</v>
      </c>
      <c r="AX13" s="41">
        <f t="shared" si="9"/>
        <v>2.06</v>
      </c>
      <c r="AY13" s="150"/>
      <c r="AZ13" s="183">
        <f t="shared" si="18"/>
        <v>251.3</v>
      </c>
      <c r="BA13" s="184">
        <f t="shared" si="19"/>
        <v>925</v>
      </c>
    </row>
    <row r="14" spans="1:53" s="9" customFormat="1" ht="15.75">
      <c r="A14" s="21">
        <v>8</v>
      </c>
      <c r="B14" s="143" t="s">
        <v>71</v>
      </c>
      <c r="C14" s="320">
        <f>'расчет БО'!C13</f>
        <v>1369</v>
      </c>
      <c r="D14" s="42"/>
      <c r="E14" s="29">
        <v>1364</v>
      </c>
      <c r="F14" s="29">
        <v>350</v>
      </c>
      <c r="G14" s="138">
        <v>1.035</v>
      </c>
      <c r="H14" s="138">
        <v>1.075</v>
      </c>
      <c r="I14" s="140">
        <v>11753</v>
      </c>
      <c r="J14" s="141">
        <v>1.18</v>
      </c>
      <c r="K14" s="144">
        <v>48.91</v>
      </c>
      <c r="L14" s="141">
        <v>1</v>
      </c>
      <c r="M14" s="176">
        <v>1.108</v>
      </c>
      <c r="N14" s="29">
        <v>350</v>
      </c>
      <c r="O14" s="196">
        <v>35</v>
      </c>
      <c r="P14" s="192">
        <v>7.3</v>
      </c>
      <c r="Q14" s="194"/>
      <c r="R14" s="198">
        <v>65</v>
      </c>
      <c r="S14" s="198">
        <v>134</v>
      </c>
      <c r="T14" s="30">
        <f t="shared" si="10"/>
        <v>241.3</v>
      </c>
      <c r="U14" s="200">
        <v>1.6</v>
      </c>
      <c r="V14" s="31">
        <v>1</v>
      </c>
      <c r="W14" s="200">
        <v>80</v>
      </c>
      <c r="X14" s="201">
        <f t="shared" si="11"/>
        <v>322.9</v>
      </c>
      <c r="Y14" s="146">
        <v>1900</v>
      </c>
      <c r="Z14" s="148">
        <f t="shared" si="12"/>
        <v>1577.1</v>
      </c>
      <c r="AA14" s="119">
        <f>'расчет БО'!AG13</f>
        <v>12.9</v>
      </c>
      <c r="AB14" s="177">
        <f>'расчет БО'!AI13</f>
        <v>0.453828</v>
      </c>
      <c r="AC14" s="124">
        <f>'расчет БО'!T13/1000</f>
        <v>38.1</v>
      </c>
      <c r="AD14" s="124"/>
      <c r="AE14" s="124">
        <f>'расчет БО'!V13/1000</f>
        <v>82.9</v>
      </c>
      <c r="AF14" s="124">
        <f>'расчет БО'!W13/1000</f>
        <v>159.7</v>
      </c>
      <c r="AG14" s="65">
        <f t="shared" si="13"/>
        <v>280.7</v>
      </c>
      <c r="AH14" s="121">
        <f t="shared" si="0"/>
        <v>0.21</v>
      </c>
      <c r="AI14" s="32"/>
      <c r="AJ14" s="33">
        <f t="shared" si="1"/>
        <v>0</v>
      </c>
      <c r="AK14" s="34">
        <f t="shared" si="2"/>
        <v>0</v>
      </c>
      <c r="AL14" s="34">
        <f t="shared" si="3"/>
        <v>0</v>
      </c>
      <c r="AM14" s="34">
        <f t="shared" si="21"/>
        <v>0</v>
      </c>
      <c r="AN14" s="35">
        <f t="shared" si="5"/>
        <v>0.454</v>
      </c>
      <c r="AO14" s="46"/>
      <c r="AP14" s="125">
        <f t="shared" si="14"/>
        <v>429.1</v>
      </c>
      <c r="AQ14" s="38">
        <f t="shared" si="6"/>
        <v>1.707</v>
      </c>
      <c r="AR14" s="39">
        <f t="shared" si="20"/>
        <v>1019.1</v>
      </c>
      <c r="AS14" s="39">
        <f t="shared" si="15"/>
        <v>1019.1</v>
      </c>
      <c r="AT14" s="40">
        <f t="shared" si="7"/>
        <v>128.9</v>
      </c>
      <c r="AU14" s="29">
        <f t="shared" si="16"/>
        <v>1369</v>
      </c>
      <c r="AV14" s="39">
        <f t="shared" si="8"/>
        <v>1448.2</v>
      </c>
      <c r="AW14" s="149">
        <f t="shared" si="17"/>
        <v>558</v>
      </c>
      <c r="AX14" s="41">
        <f t="shared" si="9"/>
        <v>2.084</v>
      </c>
      <c r="AY14" s="150"/>
      <c r="AZ14" s="183">
        <f t="shared" si="18"/>
        <v>558</v>
      </c>
      <c r="BA14" s="184">
        <f t="shared" si="19"/>
        <v>1019.1</v>
      </c>
    </row>
    <row r="15" spans="1:53" s="9" customFormat="1" ht="15.75">
      <c r="A15" s="21">
        <v>9</v>
      </c>
      <c r="B15" s="143" t="s">
        <v>72</v>
      </c>
      <c r="C15" s="320">
        <f>'расчет БО'!C14</f>
        <v>721</v>
      </c>
      <c r="D15" s="42"/>
      <c r="E15" s="29">
        <v>733</v>
      </c>
      <c r="F15" s="29">
        <v>182</v>
      </c>
      <c r="G15" s="138">
        <v>1.017</v>
      </c>
      <c r="H15" s="138">
        <v>1.075</v>
      </c>
      <c r="I15" s="140">
        <v>9732</v>
      </c>
      <c r="J15" s="141">
        <v>0.96</v>
      </c>
      <c r="K15" s="144">
        <v>48.91</v>
      </c>
      <c r="L15" s="141">
        <v>1</v>
      </c>
      <c r="M15" s="176">
        <v>0.976</v>
      </c>
      <c r="N15" s="29">
        <v>250</v>
      </c>
      <c r="O15" s="196">
        <v>20</v>
      </c>
      <c r="P15" s="192">
        <v>3.2</v>
      </c>
      <c r="Q15" s="194"/>
      <c r="R15" s="198">
        <v>20</v>
      </c>
      <c r="S15" s="198">
        <v>110</v>
      </c>
      <c r="T15" s="30">
        <f t="shared" si="10"/>
        <v>153.2</v>
      </c>
      <c r="U15" s="200">
        <v>0</v>
      </c>
      <c r="V15" s="31">
        <v>4</v>
      </c>
      <c r="W15" s="200">
        <v>12</v>
      </c>
      <c r="X15" s="201">
        <f t="shared" si="11"/>
        <v>165.2</v>
      </c>
      <c r="Y15" s="146">
        <v>1450</v>
      </c>
      <c r="Z15" s="148">
        <f t="shared" si="12"/>
        <v>1284.8</v>
      </c>
      <c r="AA15" s="119">
        <f>'расчет БО'!AG14</f>
        <v>7.6</v>
      </c>
      <c r="AB15" s="177">
        <f>'расчет БО'!AI14</f>
        <v>0.571306</v>
      </c>
      <c r="AC15" s="124">
        <f>'расчет БО'!T14/1000</f>
        <v>18.1</v>
      </c>
      <c r="AD15" s="124"/>
      <c r="AE15" s="124">
        <f>'расчет БО'!V14/1000</f>
        <v>29.7</v>
      </c>
      <c r="AF15" s="124">
        <f>'расчет БО'!W14/1000</f>
        <v>128.6</v>
      </c>
      <c r="AG15" s="65">
        <f t="shared" si="13"/>
        <v>176.4</v>
      </c>
      <c r="AH15" s="121">
        <f t="shared" si="0"/>
        <v>0.24</v>
      </c>
      <c r="AI15" s="32"/>
      <c r="AJ15" s="33">
        <f t="shared" si="1"/>
        <v>0</v>
      </c>
      <c r="AK15" s="34">
        <f t="shared" si="2"/>
        <v>0</v>
      </c>
      <c r="AL15" s="34">
        <f t="shared" si="3"/>
        <v>0</v>
      </c>
      <c r="AM15" s="34">
        <f t="shared" si="21"/>
        <v>0</v>
      </c>
      <c r="AN15" s="35">
        <f t="shared" si="5"/>
        <v>0.571</v>
      </c>
      <c r="AO15" s="46"/>
      <c r="AP15" s="125">
        <f t="shared" si="14"/>
        <v>196.6</v>
      </c>
      <c r="AQ15" s="38">
        <f t="shared" si="6"/>
        <v>1.64</v>
      </c>
      <c r="AR15" s="39">
        <f t="shared" si="20"/>
        <v>1019</v>
      </c>
      <c r="AS15" s="39">
        <f t="shared" si="15"/>
        <v>1019</v>
      </c>
      <c r="AT15" s="40">
        <f t="shared" si="7"/>
        <v>69.2</v>
      </c>
      <c r="AU15" s="29">
        <f t="shared" si="16"/>
        <v>721</v>
      </c>
      <c r="AV15" s="39">
        <f t="shared" si="8"/>
        <v>1215.6</v>
      </c>
      <c r="AW15" s="149">
        <f t="shared" si="17"/>
        <v>265.8</v>
      </c>
      <c r="AX15" s="41">
        <f t="shared" si="9"/>
        <v>2.016</v>
      </c>
      <c r="AY15" s="150"/>
      <c r="AZ15" s="183">
        <f t="shared" si="18"/>
        <v>265.8</v>
      </c>
      <c r="BA15" s="184">
        <f t="shared" si="19"/>
        <v>1019</v>
      </c>
    </row>
    <row r="16" spans="1:53" s="9" customFormat="1" ht="15.75">
      <c r="A16" s="21">
        <v>10</v>
      </c>
      <c r="B16" s="143" t="s">
        <v>73</v>
      </c>
      <c r="C16" s="320">
        <f>'расчет БО'!C15</f>
        <v>283</v>
      </c>
      <c r="D16" s="42"/>
      <c r="E16" s="29">
        <v>294</v>
      </c>
      <c r="F16" s="29">
        <v>85</v>
      </c>
      <c r="G16" s="138">
        <v>1.103</v>
      </c>
      <c r="H16" s="138">
        <v>1.075</v>
      </c>
      <c r="I16" s="140">
        <v>8239</v>
      </c>
      <c r="J16" s="141">
        <v>0.881</v>
      </c>
      <c r="K16" s="144">
        <v>48.91</v>
      </c>
      <c r="L16" s="141">
        <v>1</v>
      </c>
      <c r="M16" s="176">
        <v>0.9286</v>
      </c>
      <c r="N16" s="29">
        <v>200</v>
      </c>
      <c r="O16" s="196">
        <v>12</v>
      </c>
      <c r="P16" s="192">
        <v>0</v>
      </c>
      <c r="Q16" s="194"/>
      <c r="R16" s="198">
        <v>3</v>
      </c>
      <c r="S16" s="198">
        <v>7</v>
      </c>
      <c r="T16" s="30">
        <f t="shared" si="10"/>
        <v>22</v>
      </c>
      <c r="U16" s="200">
        <v>1.6</v>
      </c>
      <c r="V16" s="31">
        <v>10</v>
      </c>
      <c r="W16" s="200">
        <v>0</v>
      </c>
      <c r="X16" s="201">
        <f t="shared" si="11"/>
        <v>23.6</v>
      </c>
      <c r="Y16" s="146">
        <v>1400</v>
      </c>
      <c r="Z16" s="148">
        <f t="shared" si="12"/>
        <v>1376.4</v>
      </c>
      <c r="AA16" s="119">
        <f>'расчет БО'!AG15</f>
        <v>0.6</v>
      </c>
      <c r="AB16" s="177">
        <f>'расчет БО'!AI15</f>
        <v>0.114736</v>
      </c>
      <c r="AC16" s="124">
        <f>'расчет БО'!T15/1000</f>
        <v>13.1</v>
      </c>
      <c r="AD16" s="124"/>
      <c r="AE16" s="124">
        <f>'расчет БО'!V15/1000</f>
        <v>13</v>
      </c>
      <c r="AF16" s="124">
        <f>'расчет БО'!W15/1000</f>
        <v>10.4</v>
      </c>
      <c r="AG16" s="65">
        <f t="shared" si="13"/>
        <v>36.5</v>
      </c>
      <c r="AH16" s="121">
        <f t="shared" si="0"/>
        <v>0.12</v>
      </c>
      <c r="AI16" s="32"/>
      <c r="AJ16" s="33">
        <f t="shared" si="1"/>
        <v>0</v>
      </c>
      <c r="AK16" s="34">
        <v>5</v>
      </c>
      <c r="AL16" s="34">
        <f t="shared" si="3"/>
        <v>0</v>
      </c>
      <c r="AM16" s="34">
        <f t="shared" si="21"/>
        <v>0</v>
      </c>
      <c r="AN16" s="47">
        <f t="shared" si="5"/>
        <v>0.115</v>
      </c>
      <c r="AO16" s="48" t="s">
        <v>53</v>
      </c>
      <c r="AP16" s="125">
        <f t="shared" si="14"/>
        <v>84.7</v>
      </c>
      <c r="AQ16" s="38">
        <f t="shared" si="6"/>
        <v>1.263</v>
      </c>
      <c r="AR16" s="39">
        <f t="shared" si="20"/>
        <v>1263.9</v>
      </c>
      <c r="AS16" s="39">
        <f t="shared" si="15"/>
        <v>1263.9</v>
      </c>
      <c r="AT16" s="40">
        <f t="shared" si="7"/>
        <v>27.8</v>
      </c>
      <c r="AU16" s="29">
        <f t="shared" si="16"/>
        <v>283</v>
      </c>
      <c r="AV16" s="39">
        <f t="shared" si="8"/>
        <v>1348.6</v>
      </c>
      <c r="AW16" s="149">
        <f t="shared" si="17"/>
        <v>112.5</v>
      </c>
      <c r="AX16" s="41">
        <f t="shared" si="9"/>
        <v>1.64</v>
      </c>
      <c r="AY16" s="150"/>
      <c r="AZ16" s="183">
        <f t="shared" si="18"/>
        <v>112.5</v>
      </c>
      <c r="BA16" s="184">
        <f t="shared" si="19"/>
        <v>1263.9</v>
      </c>
    </row>
    <row r="17" spans="1:53" s="9" customFormat="1" ht="16.5" thickBot="1">
      <c r="A17" s="21">
        <v>11</v>
      </c>
      <c r="B17" s="143" t="s">
        <v>74</v>
      </c>
      <c r="C17" s="320">
        <f>'расчет БО'!C16</f>
        <v>2046</v>
      </c>
      <c r="D17" s="42"/>
      <c r="E17" s="29">
        <v>2039</v>
      </c>
      <c r="F17" s="29">
        <v>429</v>
      </c>
      <c r="G17" s="138">
        <v>0.938</v>
      </c>
      <c r="H17" s="138">
        <v>1.075</v>
      </c>
      <c r="I17" s="140">
        <v>10910</v>
      </c>
      <c r="J17" s="141">
        <v>0.992</v>
      </c>
      <c r="K17" s="144">
        <v>48.91</v>
      </c>
      <c r="L17" s="141">
        <v>1</v>
      </c>
      <c r="M17" s="176">
        <v>0.9952</v>
      </c>
      <c r="N17" s="29">
        <v>1000</v>
      </c>
      <c r="O17" s="196">
        <v>71</v>
      </c>
      <c r="P17" s="192">
        <v>0.3</v>
      </c>
      <c r="Q17" s="194"/>
      <c r="R17" s="198">
        <v>168</v>
      </c>
      <c r="S17" s="198">
        <v>344</v>
      </c>
      <c r="T17" s="30">
        <f t="shared" si="10"/>
        <v>583.3</v>
      </c>
      <c r="U17" s="200">
        <v>6.5</v>
      </c>
      <c r="V17" s="31">
        <v>1</v>
      </c>
      <c r="W17" s="200">
        <v>50</v>
      </c>
      <c r="X17" s="201">
        <f t="shared" si="11"/>
        <v>639.8</v>
      </c>
      <c r="Y17" s="146">
        <v>2250</v>
      </c>
      <c r="Z17" s="148">
        <f t="shared" si="12"/>
        <v>1610.2</v>
      </c>
      <c r="AA17" s="119">
        <f>'расчет БО'!AG16</f>
        <v>221.1</v>
      </c>
      <c r="AB17" s="177">
        <f>'расчет БО'!AI16</f>
        <v>5.774061</v>
      </c>
      <c r="AC17" s="124">
        <f>'расчет БО'!T16/1000</f>
        <v>83.2</v>
      </c>
      <c r="AD17" s="124"/>
      <c r="AE17" s="124">
        <f>'расчет БО'!V16/1000</f>
        <v>90.2</v>
      </c>
      <c r="AF17" s="124">
        <f>'расчет БО'!W16/1000</f>
        <v>552.4</v>
      </c>
      <c r="AG17" s="65">
        <f t="shared" si="13"/>
        <v>725.8</v>
      </c>
      <c r="AH17" s="121">
        <f t="shared" si="0"/>
        <v>0.36</v>
      </c>
      <c r="AI17" s="32"/>
      <c r="AJ17" s="33">
        <f t="shared" si="1"/>
        <v>0</v>
      </c>
      <c r="AK17" s="34">
        <f>IF(OR(X17&lt;Y17,(AJ17=0)),0,IF((0.5*(AH17-$AH$20*$AJ$20)*E17)&gt;(X17-Y17),(X17-Y17),0.5*(AH17-$AH$20*$AJ$20)*E17))</f>
        <v>0</v>
      </c>
      <c r="AL17" s="34">
        <f t="shared" si="3"/>
        <v>0</v>
      </c>
      <c r="AM17" s="34">
        <f t="shared" si="21"/>
        <v>0</v>
      </c>
      <c r="AN17" s="35">
        <f t="shared" si="5"/>
        <v>5.774</v>
      </c>
      <c r="AO17" s="49" t="s">
        <v>24</v>
      </c>
      <c r="AP17" s="125">
        <f t="shared" si="14"/>
        <v>0</v>
      </c>
      <c r="AQ17" s="38">
        <f t="shared" si="6"/>
        <v>5.774</v>
      </c>
      <c r="AR17" s="39">
        <f t="shared" si="20"/>
        <v>1417.6</v>
      </c>
      <c r="AS17" s="39">
        <f>Z17-AT17-AP17</f>
        <v>1417.6</v>
      </c>
      <c r="AT17" s="40">
        <f t="shared" si="7"/>
        <v>192.6</v>
      </c>
      <c r="AU17" s="29">
        <f t="shared" si="16"/>
        <v>2046</v>
      </c>
      <c r="AV17" s="39">
        <f t="shared" si="8"/>
        <v>1417.6</v>
      </c>
      <c r="AW17" s="149">
        <f t="shared" si="17"/>
        <v>192.6</v>
      </c>
      <c r="AX17" s="41">
        <f t="shared" si="9"/>
        <v>6.15</v>
      </c>
      <c r="AY17" s="150"/>
      <c r="AZ17" s="183">
        <f t="shared" si="18"/>
        <v>192.6</v>
      </c>
      <c r="BA17" s="184">
        <f t="shared" si="19"/>
        <v>1417.6</v>
      </c>
    </row>
    <row r="18" spans="1:53" s="9" customFormat="1" ht="16.5" thickBot="1">
      <c r="A18" s="21">
        <v>12</v>
      </c>
      <c r="B18" s="143" t="s">
        <v>75</v>
      </c>
      <c r="C18" s="320">
        <f>'расчет БО'!C17</f>
        <v>870</v>
      </c>
      <c r="D18" s="42"/>
      <c r="E18" s="29">
        <v>861</v>
      </c>
      <c r="F18" s="29">
        <v>168</v>
      </c>
      <c r="G18" s="138">
        <v>0.907</v>
      </c>
      <c r="H18" s="138">
        <v>1.075</v>
      </c>
      <c r="I18" s="140">
        <v>9404</v>
      </c>
      <c r="J18" s="141">
        <v>0.827</v>
      </c>
      <c r="K18" s="144">
        <v>48.91</v>
      </c>
      <c r="L18" s="141">
        <v>1</v>
      </c>
      <c r="M18" s="176">
        <v>0.8962</v>
      </c>
      <c r="N18" s="29">
        <v>200</v>
      </c>
      <c r="O18" s="196">
        <v>15</v>
      </c>
      <c r="P18" s="192">
        <v>0.7</v>
      </c>
      <c r="Q18" s="194"/>
      <c r="R18" s="198">
        <v>27</v>
      </c>
      <c r="S18" s="198">
        <v>46</v>
      </c>
      <c r="T18" s="30">
        <f t="shared" si="10"/>
        <v>88.7</v>
      </c>
      <c r="U18" s="200">
        <v>0</v>
      </c>
      <c r="V18" s="31">
        <v>2</v>
      </c>
      <c r="W18" s="200">
        <v>0</v>
      </c>
      <c r="X18" s="201">
        <f t="shared" si="11"/>
        <v>88.7</v>
      </c>
      <c r="Y18" s="146">
        <v>1650</v>
      </c>
      <c r="Z18" s="148">
        <f t="shared" si="12"/>
        <v>1561.3</v>
      </c>
      <c r="AA18" s="119">
        <f>'расчет БО'!AG17</f>
        <v>9.1</v>
      </c>
      <c r="AB18" s="177">
        <f>'расчет БО'!AI17</f>
        <v>0.623041</v>
      </c>
      <c r="AC18" s="124">
        <f>'расчет БО'!T17/1000</f>
        <v>14.9</v>
      </c>
      <c r="AD18" s="124"/>
      <c r="AE18" s="124">
        <f>'расчет БО'!V17/1000</f>
        <v>49.9</v>
      </c>
      <c r="AF18" s="124">
        <f>'расчет БО'!W17/1000</f>
        <v>179.6</v>
      </c>
      <c r="AG18" s="65">
        <f t="shared" si="13"/>
        <v>244.4</v>
      </c>
      <c r="AH18" s="121">
        <f t="shared" si="0"/>
        <v>0.28</v>
      </c>
      <c r="AI18" s="32"/>
      <c r="AJ18" s="33">
        <f t="shared" si="1"/>
        <v>0</v>
      </c>
      <c r="AK18" s="34">
        <f>IF(OR(X18&lt;Y18,(AJ18=0)),0,IF((0.5*(AH18-$AH$20*$AJ$20)*E18)&gt;(X18-Y18),(X18-Y18),0.5*(AH18-$AH$20*$AJ$20)*E18))</f>
        <v>0</v>
      </c>
      <c r="AL18" s="34">
        <f t="shared" si="3"/>
        <v>0</v>
      </c>
      <c r="AM18" s="34">
        <f t="shared" si="21"/>
        <v>0</v>
      </c>
      <c r="AN18" s="35">
        <f t="shared" si="5"/>
        <v>0.623</v>
      </c>
      <c r="AO18" s="155">
        <v>4.094</v>
      </c>
      <c r="AP18" s="125">
        <f t="shared" si="14"/>
        <v>208.9</v>
      </c>
      <c r="AQ18" s="38">
        <f t="shared" si="6"/>
        <v>1.59</v>
      </c>
      <c r="AR18" s="39">
        <f t="shared" si="20"/>
        <v>1271.1</v>
      </c>
      <c r="AS18" s="39">
        <f t="shared" si="15"/>
        <v>1271.1</v>
      </c>
      <c r="AT18" s="40">
        <f t="shared" si="7"/>
        <v>81.3</v>
      </c>
      <c r="AU18" s="29">
        <f t="shared" si="16"/>
        <v>870</v>
      </c>
      <c r="AV18" s="39">
        <f t="shared" si="8"/>
        <v>1480</v>
      </c>
      <c r="AW18" s="149">
        <f t="shared" si="17"/>
        <v>290.2</v>
      </c>
      <c r="AX18" s="41">
        <f t="shared" si="9"/>
        <v>1.966</v>
      </c>
      <c r="AY18" s="150"/>
      <c r="AZ18" s="183">
        <f t="shared" si="18"/>
        <v>290.2</v>
      </c>
      <c r="BA18" s="184">
        <f t="shared" si="19"/>
        <v>1271.1</v>
      </c>
    </row>
    <row r="19" spans="1:53" s="9" customFormat="1" ht="16.5" customHeight="1" thickBot="1">
      <c r="A19" s="21">
        <v>13</v>
      </c>
      <c r="B19" s="143" t="s">
        <v>76</v>
      </c>
      <c r="C19" s="320">
        <f>'расчет БО'!C18</f>
        <v>5640</v>
      </c>
      <c r="D19" s="42"/>
      <c r="E19" s="29">
        <v>5640</v>
      </c>
      <c r="F19" s="29">
        <v>1364</v>
      </c>
      <c r="G19" s="138">
        <v>1.004</v>
      </c>
      <c r="H19" s="138">
        <v>1.075</v>
      </c>
      <c r="I19" s="140">
        <v>14768</v>
      </c>
      <c r="J19" s="141">
        <v>1.438</v>
      </c>
      <c r="K19" s="144">
        <v>48.91</v>
      </c>
      <c r="L19" s="141">
        <v>1</v>
      </c>
      <c r="M19" s="176">
        <v>1.2628</v>
      </c>
      <c r="N19" s="29">
        <v>10156</v>
      </c>
      <c r="O19" s="196">
        <v>951</v>
      </c>
      <c r="P19" s="192">
        <v>108</v>
      </c>
      <c r="Q19" s="194"/>
      <c r="R19" s="199">
        <v>507</v>
      </c>
      <c r="S19" s="199">
        <v>280</v>
      </c>
      <c r="T19" s="30">
        <f t="shared" si="10"/>
        <v>1846</v>
      </c>
      <c r="U19" s="200">
        <v>0</v>
      </c>
      <c r="V19" s="31">
        <v>0</v>
      </c>
      <c r="W19" s="200">
        <v>115</v>
      </c>
      <c r="X19" s="201">
        <f t="shared" si="11"/>
        <v>1961</v>
      </c>
      <c r="Y19" s="146">
        <v>4500</v>
      </c>
      <c r="Z19" s="148">
        <f>Y19-X19</f>
        <v>2539</v>
      </c>
      <c r="AA19" s="119">
        <f>'расчет БО'!AG18</f>
        <v>1134.4</v>
      </c>
      <c r="AB19" s="177">
        <f>'расчет БО'!AI18</f>
        <v>8.470192</v>
      </c>
      <c r="AC19" s="124">
        <f>'расчет БО'!T18/1000</f>
        <v>981.9</v>
      </c>
      <c r="AD19" s="124"/>
      <c r="AE19" s="124">
        <f>'расчет БО'!V18/1000</f>
        <v>398.8</v>
      </c>
      <c r="AF19" s="124">
        <f>'расчет БО'!W18/1000</f>
        <v>940.4</v>
      </c>
      <c r="AG19" s="65">
        <f>SUM(AC19:AF19)</f>
        <v>2321.1</v>
      </c>
      <c r="AH19" s="121">
        <f>AG19/E19</f>
        <v>0.41</v>
      </c>
      <c r="AI19" s="32"/>
      <c r="AJ19" s="33">
        <f>IF(AH19&gt;=$AH$20*$AJ$20,1,0)</f>
        <v>0</v>
      </c>
      <c r="AK19" s="34">
        <f>IF(OR(X19&lt;Y19,(AJ19=0)),0,IF((0.5*(AH19-$AH$20*$AJ$20)*E19)&gt;(X19-Y19),(X19-Y19),0.5*(AH19-$AH$20*$AJ$20)*E19))</f>
        <v>0</v>
      </c>
      <c r="AL19" s="34">
        <f t="shared" si="3"/>
        <v>0</v>
      </c>
      <c r="AM19" s="34">
        <f>IF(MIN(AK19,AL19)&lt;0,0,MIN(AK19,AL19))</f>
        <v>0</v>
      </c>
      <c r="AN19" s="35">
        <f t="shared" si="5"/>
        <v>8.47</v>
      </c>
      <c r="AO19" s="50"/>
      <c r="AP19" s="125">
        <f t="shared" si="14"/>
        <v>0</v>
      </c>
      <c r="AQ19" s="38">
        <f t="shared" si="6"/>
        <v>8.47</v>
      </c>
      <c r="AR19" s="39">
        <f>Z19-AT19-AP19</f>
        <v>2006.2</v>
      </c>
      <c r="AS19" s="39">
        <f t="shared" si="15"/>
        <v>2006.2</v>
      </c>
      <c r="AT19" s="40">
        <f t="shared" si="7"/>
        <v>532.8</v>
      </c>
      <c r="AU19" s="29">
        <f>C19</f>
        <v>5640</v>
      </c>
      <c r="AV19" s="39">
        <f>Z19-AT19</f>
        <v>2006.2</v>
      </c>
      <c r="AW19" s="149">
        <f>AP19+AT19</f>
        <v>532.8</v>
      </c>
      <c r="AX19" s="41">
        <f t="shared" si="9"/>
        <v>8.846</v>
      </c>
      <c r="AY19" s="150"/>
      <c r="AZ19" s="183">
        <f t="shared" si="18"/>
        <v>532.8</v>
      </c>
      <c r="BA19" s="184">
        <f t="shared" si="19"/>
        <v>2006.2</v>
      </c>
    </row>
    <row r="20" spans="1:53" s="66" customFormat="1" ht="16.5" thickBot="1">
      <c r="A20" s="53"/>
      <c r="B20" s="54" t="s">
        <v>25</v>
      </c>
      <c r="C20" s="55">
        <f>SUM(C7:C19)</f>
        <v>15079</v>
      </c>
      <c r="D20" s="55">
        <v>0</v>
      </c>
      <c r="E20" s="55">
        <v>15163</v>
      </c>
      <c r="F20" s="55">
        <v>3638</v>
      </c>
      <c r="G20" s="139">
        <v>1</v>
      </c>
      <c r="H20" s="139">
        <v>1.075</v>
      </c>
      <c r="I20" s="55">
        <v>10311</v>
      </c>
      <c r="J20" s="142">
        <v>1</v>
      </c>
      <c r="K20" s="144">
        <v>48.91</v>
      </c>
      <c r="L20" s="141">
        <v>1</v>
      </c>
      <c r="M20" s="176">
        <v>1</v>
      </c>
      <c r="N20" s="55">
        <v>14286</v>
      </c>
      <c r="O20" s="57">
        <f>SUM(O7:O19)</f>
        <v>1365.8</v>
      </c>
      <c r="P20" s="57">
        <f>SUM(P7:P19)</f>
        <v>190.8</v>
      </c>
      <c r="Q20" s="147">
        <f>SUM(Q7:Q19)</f>
        <v>0</v>
      </c>
      <c r="R20" s="56">
        <f>SUM(R7:R19)</f>
        <v>917</v>
      </c>
      <c r="S20" s="57">
        <f>SUM(S7:S19)</f>
        <v>1332</v>
      </c>
      <c r="T20" s="57">
        <f>T7+T8+T10+T9+T11+T12+T13+T14+T15+T16+T17+T18+T19</f>
        <v>3805.6</v>
      </c>
      <c r="U20" s="57">
        <f>SUM(U7:U19)</f>
        <v>19.9</v>
      </c>
      <c r="V20" s="57">
        <v>78</v>
      </c>
      <c r="W20" s="57">
        <f>SUM(W7:W19)</f>
        <v>343</v>
      </c>
      <c r="X20" s="202">
        <f>SUM(X7:X19)</f>
        <v>4168.5</v>
      </c>
      <c r="Y20" s="147">
        <f>SUM(Y7:Y19)</f>
        <v>24000</v>
      </c>
      <c r="Z20" s="64">
        <f>SUMIF(Z7:Z19,"&gt;0")</f>
        <v>19831.5</v>
      </c>
      <c r="AA20" s="120">
        <f>'расчет БО'!AG19</f>
        <v>283.6</v>
      </c>
      <c r="AB20" s="177">
        <f>'расчет БО'!AI19</f>
        <v>1</v>
      </c>
      <c r="AC20" s="102">
        <f>SUM(AC7:AC19)</f>
        <v>1406.8</v>
      </c>
      <c r="AD20" s="102">
        <f>SUM(AD7:AD19)</f>
        <v>0</v>
      </c>
      <c r="AE20" s="102">
        <f>SUM(AE7:AE19)</f>
        <v>942.1</v>
      </c>
      <c r="AF20" s="102">
        <f>SUM(AF7:AF19)</f>
        <v>2591.7</v>
      </c>
      <c r="AG20" s="65">
        <f>SUM(AG7:AG19)</f>
        <v>4940.6</v>
      </c>
      <c r="AH20" s="121">
        <f t="shared" si="0"/>
        <v>0.33</v>
      </c>
      <c r="AI20" s="101">
        <f>AH20*AJ20</f>
        <v>0.66</v>
      </c>
      <c r="AJ20" s="61">
        <v>2</v>
      </c>
      <c r="AK20" s="62">
        <f>SUM(AK7:AK19)</f>
        <v>5</v>
      </c>
      <c r="AL20" s="62">
        <f>SUM(AL7:AL19)</f>
        <v>0</v>
      </c>
      <c r="AM20" s="62">
        <f>SUM(AM7:AM19)</f>
        <v>0</v>
      </c>
      <c r="AN20" s="63">
        <f t="shared" si="5"/>
        <v>1</v>
      </c>
      <c r="AO20" s="50"/>
      <c r="AP20" s="125">
        <f>SUM(AP7:AP19)</f>
        <v>2131.1</v>
      </c>
      <c r="AQ20" s="38">
        <f t="shared" si="6"/>
        <v>1.56</v>
      </c>
      <c r="AR20" s="58">
        <f>SUMIF(AR7:AR19,"&gt;0")</f>
        <v>16268</v>
      </c>
      <c r="AS20" s="39">
        <f t="shared" si="15"/>
        <v>16268</v>
      </c>
      <c r="AT20" s="37">
        <f>SUM(AT7:AT19)</f>
        <v>1432.4</v>
      </c>
      <c r="AU20" s="65">
        <f>SUM(AU7:AU19)</f>
        <v>15079</v>
      </c>
      <c r="AV20" s="58">
        <f>SUMIF(AV7:AV19,"&gt;0")</f>
        <v>18399.1</v>
      </c>
      <c r="AW20" s="149">
        <f t="shared" si="17"/>
        <v>3563.5</v>
      </c>
      <c r="AX20" s="99">
        <f t="shared" si="9"/>
        <v>1.936</v>
      </c>
      <c r="AY20" s="150"/>
      <c r="AZ20" s="183">
        <f t="shared" si="18"/>
        <v>3563.5</v>
      </c>
      <c r="BA20" s="184">
        <f t="shared" si="19"/>
        <v>16268</v>
      </c>
    </row>
    <row r="21" spans="1:50" s="66" customFormat="1" ht="15.75">
      <c r="A21" s="53"/>
      <c r="B21" s="6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7"/>
      <c r="T21" s="57"/>
      <c r="U21" s="57"/>
      <c r="V21" s="57"/>
      <c r="W21" s="57"/>
      <c r="X21" s="202"/>
      <c r="Y21" s="57"/>
      <c r="Z21" s="68">
        <f>SUMIF(Z7:Z19,"&lt;0")</f>
        <v>0</v>
      </c>
      <c r="AA21" s="59"/>
      <c r="AB21" s="60"/>
      <c r="AC21" s="69"/>
      <c r="AD21" s="69"/>
      <c r="AE21" s="69"/>
      <c r="AF21" s="69"/>
      <c r="AG21" s="69"/>
      <c r="AH21" s="69"/>
      <c r="AI21" s="69"/>
      <c r="AJ21" s="70"/>
      <c r="AK21" s="62"/>
      <c r="AL21" s="62"/>
      <c r="AM21" s="62"/>
      <c r="AN21" s="63"/>
      <c r="AO21" s="50"/>
      <c r="AP21" s="51"/>
      <c r="AQ21" s="38"/>
      <c r="AR21" s="68">
        <f>SUMIF(AR7:AR19,"&lt;0")</f>
        <v>0</v>
      </c>
      <c r="AS21" s="68"/>
      <c r="AT21" s="62"/>
      <c r="AU21" s="65"/>
      <c r="AV21" s="68">
        <f>SUMIF(AV7:AV19,"&lt;0")</f>
        <v>0</v>
      </c>
      <c r="AW21" s="100"/>
      <c r="AX21" s="52"/>
    </row>
    <row r="22" spans="1:50" s="71" customFormat="1" ht="15.75">
      <c r="A22" s="126"/>
      <c r="B22" s="127" t="s">
        <v>26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8"/>
      <c r="Q22" s="129"/>
      <c r="R22" s="130"/>
      <c r="S22" s="130"/>
      <c r="T22" s="130"/>
      <c r="U22" s="130"/>
      <c r="V22" s="130"/>
      <c r="W22" s="130"/>
      <c r="X22" s="203"/>
      <c r="Y22" s="130"/>
      <c r="Z22" s="130"/>
      <c r="AA22" s="131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</row>
    <row r="23" spans="1:50" s="9" customFormat="1" ht="33" customHeight="1">
      <c r="A23" s="72"/>
      <c r="B23" s="73" t="s">
        <v>27</v>
      </c>
      <c r="C23" s="168">
        <f aca="true" t="shared" si="22" ref="C23:H23">C20+C22</f>
        <v>15079</v>
      </c>
      <c r="D23" s="166">
        <f t="shared" si="22"/>
        <v>0</v>
      </c>
      <c r="E23" s="168">
        <f t="shared" si="22"/>
        <v>15163</v>
      </c>
      <c r="F23" s="168">
        <f t="shared" si="22"/>
        <v>3638</v>
      </c>
      <c r="G23" s="169">
        <f t="shared" si="22"/>
        <v>1</v>
      </c>
      <c r="H23" s="169">
        <f t="shared" si="22"/>
        <v>1.075</v>
      </c>
      <c r="I23" s="166"/>
      <c r="J23" s="166"/>
      <c r="K23" s="166"/>
      <c r="L23" s="166"/>
      <c r="M23" s="166"/>
      <c r="N23" s="166">
        <f aca="true" t="shared" si="23" ref="N23:Z23">N20+N22</f>
        <v>14286</v>
      </c>
      <c r="O23" s="166">
        <f t="shared" si="23"/>
        <v>1365.8</v>
      </c>
      <c r="P23" s="166">
        <f t="shared" si="23"/>
        <v>190.8</v>
      </c>
      <c r="Q23" s="166">
        <f t="shared" si="23"/>
        <v>0</v>
      </c>
      <c r="R23" s="166">
        <f t="shared" si="23"/>
        <v>917</v>
      </c>
      <c r="S23" s="166">
        <f t="shared" si="23"/>
        <v>1332</v>
      </c>
      <c r="T23" s="166">
        <f t="shared" si="23"/>
        <v>3805.6</v>
      </c>
      <c r="U23" s="166">
        <f t="shared" si="23"/>
        <v>19.9</v>
      </c>
      <c r="V23" s="166">
        <f t="shared" si="23"/>
        <v>78</v>
      </c>
      <c r="W23" s="166">
        <f t="shared" si="23"/>
        <v>343</v>
      </c>
      <c r="X23" s="204">
        <f t="shared" si="23"/>
        <v>4168.5</v>
      </c>
      <c r="Y23" s="170">
        <f t="shared" si="23"/>
        <v>24000</v>
      </c>
      <c r="Z23" s="170">
        <f t="shared" si="23"/>
        <v>19831.5</v>
      </c>
      <c r="AA23" s="167"/>
      <c r="AB23" s="167"/>
      <c r="AC23" s="166">
        <f aca="true" t="shared" si="24" ref="AC23:AH23">AC20+AC22</f>
        <v>1406.8</v>
      </c>
      <c r="AD23" s="166">
        <f t="shared" si="24"/>
        <v>0</v>
      </c>
      <c r="AE23" s="166">
        <f t="shared" si="24"/>
        <v>942.1</v>
      </c>
      <c r="AF23" s="166">
        <f t="shared" si="24"/>
        <v>2591.7</v>
      </c>
      <c r="AG23" s="166">
        <f t="shared" si="24"/>
        <v>4940.6</v>
      </c>
      <c r="AH23" s="170">
        <f t="shared" si="24"/>
        <v>0.33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70">
        <f>AW20+AW22</f>
        <v>3563.5</v>
      </c>
      <c r="AX23" s="167"/>
    </row>
    <row r="24" spans="15:50" ht="15.75">
      <c r="O24" s="103"/>
      <c r="P24" s="74"/>
      <c r="Q24" s="75"/>
      <c r="R24" s="103"/>
      <c r="S24" s="103"/>
      <c r="T24" s="103"/>
      <c r="U24" s="103"/>
      <c r="V24" s="10"/>
      <c r="W24" s="76"/>
      <c r="Y24" s="77"/>
      <c r="Z24" s="10"/>
      <c r="AA24" s="78"/>
      <c r="AB24" s="79"/>
      <c r="AC24" s="79"/>
      <c r="AD24" s="79"/>
      <c r="AE24" s="79"/>
      <c r="AF24" s="79"/>
      <c r="AG24" s="79"/>
      <c r="AH24" s="79"/>
      <c r="AI24" s="80"/>
      <c r="AJ24" s="80"/>
      <c r="AK24" s="80"/>
      <c r="AL24" s="80"/>
      <c r="AM24" s="81"/>
      <c r="AN24" s="79"/>
      <c r="AP24" s="80"/>
      <c r="AQ24" s="81"/>
      <c r="AR24" s="81"/>
      <c r="AS24" s="81"/>
      <c r="AU24" s="81"/>
      <c r="AV24" s="81"/>
      <c r="AW24" s="81"/>
      <c r="AX24" s="81"/>
    </row>
    <row r="25" spans="3:50" ht="15.75">
      <c r="C25" s="190" t="s">
        <v>86</v>
      </c>
      <c r="P25" s="74"/>
      <c r="Q25" s="75"/>
      <c r="V25" s="78"/>
      <c r="Y25" s="82"/>
      <c r="Z25" s="78"/>
      <c r="AB25" s="83"/>
      <c r="AC25" s="84"/>
      <c r="AD25" s="84"/>
      <c r="AE25" s="84"/>
      <c r="AF25" s="84"/>
      <c r="AG25" s="84"/>
      <c r="AH25" s="84"/>
      <c r="AI25" s="84"/>
      <c r="AM25" s="85"/>
      <c r="AN25" s="83"/>
      <c r="AO25" s="156"/>
      <c r="AQ25" s="86"/>
      <c r="AR25" s="86"/>
      <c r="AS25" s="86"/>
      <c r="AT25" s="86"/>
      <c r="AU25" s="86"/>
      <c r="AV25" s="86"/>
      <c r="AW25" s="85"/>
      <c r="AX25" s="86"/>
    </row>
    <row r="26" spans="2:50" ht="18.75">
      <c r="B26" s="189"/>
      <c r="C26" s="190" t="s">
        <v>87</v>
      </c>
      <c r="F26" s="171"/>
      <c r="G26" s="137"/>
      <c r="H26" s="137"/>
      <c r="I26" s="137"/>
      <c r="J26" s="137"/>
      <c r="K26" s="137"/>
      <c r="L26" s="137"/>
      <c r="M26" s="137"/>
      <c r="N26" s="87"/>
      <c r="O26" s="87"/>
      <c r="P26" s="88"/>
      <c r="Q26" s="89"/>
      <c r="AB26" s="83"/>
      <c r="AC26" s="84"/>
      <c r="AD26" s="84"/>
      <c r="AE26" s="84"/>
      <c r="AF26" s="84"/>
      <c r="AG26" s="84"/>
      <c r="AH26" s="84"/>
      <c r="AM26" s="85"/>
      <c r="AN26" s="83"/>
      <c r="AP26" s="157"/>
      <c r="AQ26" s="86"/>
      <c r="AR26" s="86"/>
      <c r="AS26" s="86"/>
      <c r="AT26" s="86"/>
      <c r="AU26" s="86"/>
      <c r="AV26" s="86"/>
      <c r="AW26" s="85"/>
      <c r="AX26" s="86"/>
    </row>
    <row r="27" spans="2:42" ht="15.75">
      <c r="B27" s="189"/>
      <c r="C27" s="190" t="s">
        <v>89</v>
      </c>
      <c r="P27" s="74"/>
      <c r="Q27" s="75"/>
      <c r="AP27" s="157"/>
    </row>
    <row r="28" spans="2:17" ht="15.75">
      <c r="B28" s="189"/>
      <c r="C28" s="191" t="s">
        <v>90</v>
      </c>
      <c r="D28" s="135"/>
      <c r="E28" s="135" t="s">
        <v>88</v>
      </c>
      <c r="P28" s="74"/>
      <c r="Q28" s="75"/>
    </row>
    <row r="29" spans="2:17" ht="15.75">
      <c r="B29" s="135"/>
      <c r="C29" s="135"/>
      <c r="D29" s="135"/>
      <c r="P29" s="74"/>
      <c r="Q29" s="75"/>
    </row>
    <row r="30" spans="16:17" ht="15.75">
      <c r="P30" s="74"/>
      <c r="Q30" s="75"/>
    </row>
    <row r="31" spans="16:17" ht="15.75">
      <c r="P31" s="74"/>
      <c r="Q31" s="75"/>
    </row>
    <row r="32" spans="16:44" ht="15.75">
      <c r="P32" s="74"/>
      <c r="Q32" s="75"/>
      <c r="AR32" s="9" t="s">
        <v>77</v>
      </c>
    </row>
    <row r="33" spans="16:17" ht="15.75">
      <c r="P33" s="74"/>
      <c r="Q33" s="75"/>
    </row>
    <row r="34" spans="16:17" ht="15.75">
      <c r="P34" s="74"/>
      <c r="Q34" s="75"/>
    </row>
    <row r="35" spans="16:17" ht="15.75">
      <c r="P35" s="74"/>
      <c r="Q35" s="75"/>
    </row>
    <row r="36" spans="16:17" ht="15.75">
      <c r="P36" s="74"/>
      <c r="Q36" s="75"/>
    </row>
    <row r="37" spans="16:17" ht="15.75">
      <c r="P37" s="74"/>
      <c r="Q37" s="75"/>
    </row>
    <row r="38" spans="16:17" ht="15.75">
      <c r="P38" s="74"/>
      <c r="Q38" s="75"/>
    </row>
    <row r="39" spans="16:17" ht="15.75">
      <c r="P39" s="74"/>
      <c r="Q39" s="75"/>
    </row>
    <row r="40" spans="16:17" ht="15.75">
      <c r="P40" s="74"/>
      <c r="Q40" s="75"/>
    </row>
    <row r="41" spans="16:17" ht="15.75">
      <c r="P41" s="74"/>
      <c r="Q41" s="75"/>
    </row>
    <row r="42" spans="16:17" ht="15.75">
      <c r="P42" s="74"/>
      <c r="Q42" s="75"/>
    </row>
    <row r="43" spans="16:17" ht="15.75">
      <c r="P43" s="74"/>
      <c r="Q43" s="75"/>
    </row>
    <row r="44" spans="16:17" ht="15.75">
      <c r="P44" s="74"/>
      <c r="Q44" s="75"/>
    </row>
    <row r="45" spans="16:17" ht="15.75">
      <c r="P45" s="74"/>
      <c r="Q45" s="75"/>
    </row>
    <row r="46" spans="16:17" ht="15.75">
      <c r="P46" s="74"/>
      <c r="Q46" s="75"/>
    </row>
    <row r="47" spans="16:17" ht="15.75">
      <c r="P47" s="74"/>
      <c r="Q47" s="75"/>
    </row>
    <row r="48" spans="16:17" ht="15.75">
      <c r="P48" s="74"/>
      <c r="Q48" s="75"/>
    </row>
    <row r="49" spans="16:17" ht="15.75">
      <c r="P49" s="74"/>
      <c r="Q49" s="75"/>
    </row>
    <row r="50" spans="16:17" ht="15.75">
      <c r="P50" s="74"/>
      <c r="Q50" s="75"/>
    </row>
    <row r="51" spans="16:17" ht="15.75">
      <c r="P51" s="74"/>
      <c r="Q51" s="75"/>
    </row>
    <row r="52" spans="16:17" ht="15.75">
      <c r="P52" s="74"/>
      <c r="Q52" s="75"/>
    </row>
    <row r="53" spans="16:17" ht="15.75">
      <c r="P53" s="74"/>
      <c r="Q53" s="75"/>
    </row>
    <row r="54" spans="16:17" ht="15.75">
      <c r="P54" s="74"/>
      <c r="Q54" s="75"/>
    </row>
    <row r="55" spans="16:17" ht="15.75">
      <c r="P55" s="74"/>
      <c r="Q55" s="75"/>
    </row>
    <row r="56" spans="16:17" ht="15.75">
      <c r="P56" s="74"/>
      <c r="Q56" s="75"/>
    </row>
    <row r="57" spans="16:17" ht="15.75">
      <c r="P57" s="90"/>
      <c r="Q57" s="91"/>
    </row>
    <row r="58" spans="16:17" ht="15.75">
      <c r="P58" s="92"/>
      <c r="Q58" s="92"/>
    </row>
    <row r="59" spans="16:17" ht="15.75">
      <c r="P59" s="93"/>
      <c r="Q59" s="94"/>
    </row>
    <row r="60" spans="16:17" ht="15.75">
      <c r="P60" s="95"/>
      <c r="Q60" s="96"/>
    </row>
    <row r="61" ht="15.75">
      <c r="P61" s="97"/>
    </row>
  </sheetData>
  <sheetProtection/>
  <mergeCells count="48"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  <mergeCell ref="AM3:AM5"/>
    <mergeCell ref="AI3:AI5"/>
    <mergeCell ref="AW3:AW5"/>
    <mergeCell ref="AT3:AT4"/>
    <mergeCell ref="AK4:AK5"/>
    <mergeCell ref="AL4:AL5"/>
    <mergeCell ref="AN3:AN5"/>
    <mergeCell ref="AV3:AV5"/>
    <mergeCell ref="I3:I5"/>
    <mergeCell ref="S3:S5"/>
    <mergeCell ref="AX3:AX5"/>
    <mergeCell ref="AC4:AC5"/>
    <mergeCell ref="AD4:AD5"/>
    <mergeCell ref="AH3:AH5"/>
    <mergeCell ref="AQ3:AQ5"/>
    <mergeCell ref="AR3:AR5"/>
    <mergeCell ref="AU3:AU5"/>
    <mergeCell ref="AJ3:AJ5"/>
    <mergeCell ref="M3:M5"/>
    <mergeCell ref="K3:K5"/>
    <mergeCell ref="Y3:Y5"/>
    <mergeCell ref="Z3:Z5"/>
    <mergeCell ref="AA3:AA5"/>
    <mergeCell ref="C3:C5"/>
    <mergeCell ref="D3:D5"/>
    <mergeCell ref="F3:F5"/>
    <mergeCell ref="G3:G5"/>
    <mergeCell ref="H3:H5"/>
    <mergeCell ref="A3:A5"/>
    <mergeCell ref="B3:B5"/>
    <mergeCell ref="E3:E5"/>
    <mergeCell ref="N3:N5"/>
    <mergeCell ref="P3:P5"/>
    <mergeCell ref="X3:X5"/>
    <mergeCell ref="Q3:Q5"/>
    <mergeCell ref="R3:R5"/>
    <mergeCell ref="J3:J5"/>
    <mergeCell ref="L3:L5"/>
  </mergeCells>
  <printOptions/>
  <pageMargins left="0.3937007874015748" right="0" top="0" bottom="0" header="0.31" footer="0.5118110236220472"/>
  <pageSetup fitToWidth="3" fitToHeight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6"/>
  <sheetViews>
    <sheetView tabSelected="1" zoomScalePageLayoutView="0" workbookViewId="0" topLeftCell="P1">
      <selection activeCell="M28" sqref="M28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0.87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23" width="12.25390625" style="0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25390625" style="113" customWidth="1"/>
    <col min="30" max="30" width="11.625" style="113" customWidth="1"/>
    <col min="31" max="31" width="12.75390625" style="113" customWidth="1"/>
    <col min="32" max="32" width="13.75390625" style="113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2" ht="18.75">
      <c r="C2" s="160" t="s">
        <v>63</v>
      </c>
    </row>
    <row r="3" ht="13.5" thickBot="1"/>
    <row r="4" spans="1:36" ht="16.5" customHeight="1" thickBot="1">
      <c r="A4" s="308"/>
      <c r="B4" s="315"/>
      <c r="C4" s="317" t="s">
        <v>105</v>
      </c>
      <c r="D4" s="310" t="s">
        <v>36</v>
      </c>
      <c r="E4" s="311"/>
      <c r="F4" s="311"/>
      <c r="G4" s="311"/>
      <c r="H4" s="311"/>
      <c r="I4" s="318" t="s">
        <v>85</v>
      </c>
      <c r="J4" s="319"/>
      <c r="K4" s="319"/>
      <c r="L4" s="319"/>
      <c r="M4" s="319"/>
      <c r="N4" s="310" t="s">
        <v>91</v>
      </c>
      <c r="O4" s="311"/>
      <c r="P4" s="311"/>
      <c r="Q4" s="311"/>
      <c r="R4" s="311"/>
      <c r="S4" s="310" t="s">
        <v>95</v>
      </c>
      <c r="T4" s="311"/>
      <c r="U4" s="311"/>
      <c r="V4" s="311"/>
      <c r="W4" s="311"/>
      <c r="X4" s="312" t="s">
        <v>37</v>
      </c>
      <c r="Y4" s="313"/>
      <c r="Z4" s="313"/>
      <c r="AA4" s="313"/>
      <c r="AB4" s="314"/>
      <c r="AC4" s="115" t="s">
        <v>42</v>
      </c>
      <c r="AD4" s="115" t="s">
        <v>43</v>
      </c>
      <c r="AE4" s="115" t="s">
        <v>44</v>
      </c>
      <c r="AF4" s="117" t="s">
        <v>46</v>
      </c>
      <c r="AG4" s="309" t="s">
        <v>51</v>
      </c>
      <c r="AH4" s="307" t="s">
        <v>47</v>
      </c>
      <c r="AI4" s="307" t="s">
        <v>50</v>
      </c>
      <c r="AJ4" s="307" t="s">
        <v>48</v>
      </c>
    </row>
    <row r="5" spans="1:36" ht="115.5" thickBot="1">
      <c r="A5" s="308"/>
      <c r="B5" s="316"/>
      <c r="C5" s="316"/>
      <c r="D5" s="158" t="s">
        <v>39</v>
      </c>
      <c r="E5" s="106" t="s">
        <v>38</v>
      </c>
      <c r="F5" s="106" t="s">
        <v>29</v>
      </c>
      <c r="G5" s="159" t="s">
        <v>30</v>
      </c>
      <c r="H5" s="106" t="s">
        <v>31</v>
      </c>
      <c r="I5" s="205" t="s">
        <v>102</v>
      </c>
      <c r="J5" s="206" t="s">
        <v>38</v>
      </c>
      <c r="K5" s="206" t="s">
        <v>29</v>
      </c>
      <c r="L5" s="207" t="s">
        <v>30</v>
      </c>
      <c r="M5" s="206" t="s">
        <v>31</v>
      </c>
      <c r="N5" s="158" t="s">
        <v>103</v>
      </c>
      <c r="O5" s="106" t="s">
        <v>38</v>
      </c>
      <c r="P5" s="106" t="s">
        <v>29</v>
      </c>
      <c r="Q5" s="159" t="s">
        <v>30</v>
      </c>
      <c r="R5" s="106" t="s">
        <v>31</v>
      </c>
      <c r="S5" s="158" t="s">
        <v>104</v>
      </c>
      <c r="T5" s="106" t="s">
        <v>38</v>
      </c>
      <c r="U5" s="106" t="s">
        <v>29</v>
      </c>
      <c r="V5" s="159" t="s">
        <v>30</v>
      </c>
      <c r="W5" s="106" t="s">
        <v>31</v>
      </c>
      <c r="X5" s="107" t="s">
        <v>40</v>
      </c>
      <c r="Y5" s="107" t="s">
        <v>41</v>
      </c>
      <c r="Z5" s="107" t="s">
        <v>29</v>
      </c>
      <c r="AA5" s="108" t="s">
        <v>30</v>
      </c>
      <c r="AB5" s="107" t="s">
        <v>31</v>
      </c>
      <c r="AC5" s="106" t="s">
        <v>92</v>
      </c>
      <c r="AD5" s="106" t="s">
        <v>93</v>
      </c>
      <c r="AE5" s="106" t="s">
        <v>94</v>
      </c>
      <c r="AF5" s="118" t="s">
        <v>45</v>
      </c>
      <c r="AG5" s="308"/>
      <c r="AH5" s="308"/>
      <c r="AI5" s="308"/>
      <c r="AJ5" s="308"/>
    </row>
    <row r="6" spans="1:36" s="135" customFormat="1" ht="18" customHeight="1" thickBot="1">
      <c r="A6" s="109">
        <v>1</v>
      </c>
      <c r="B6" s="143" t="s">
        <v>64</v>
      </c>
      <c r="C6" s="132">
        <v>520</v>
      </c>
      <c r="D6" s="163">
        <v>1140925</v>
      </c>
      <c r="E6" s="161">
        <v>51297.9</v>
      </c>
      <c r="F6" s="162"/>
      <c r="G6" s="161">
        <v>18762.5</v>
      </c>
      <c r="H6" s="161">
        <v>26783.2</v>
      </c>
      <c r="I6" s="208">
        <v>483912</v>
      </c>
      <c r="J6" s="209">
        <v>64815.1</v>
      </c>
      <c r="K6" s="210"/>
      <c r="L6" s="209">
        <v>38266.7</v>
      </c>
      <c r="M6" s="209">
        <v>58525.3</v>
      </c>
      <c r="N6" s="208">
        <v>483912</v>
      </c>
      <c r="O6" s="209">
        <v>66514</v>
      </c>
      <c r="P6" s="210"/>
      <c r="Q6" s="209">
        <v>53665</v>
      </c>
      <c r="R6" s="209">
        <v>66949</v>
      </c>
      <c r="S6" s="208">
        <v>483912</v>
      </c>
      <c r="T6" s="209">
        <v>13761</v>
      </c>
      <c r="U6" s="210"/>
      <c r="V6" s="209">
        <v>55686</v>
      </c>
      <c r="W6" s="209">
        <v>100382</v>
      </c>
      <c r="X6" s="133">
        <f aca="true" t="shared" si="0" ref="X6:X19">AVERAGE(D6/D$19,I6/I$19,N6/N$19)</f>
        <v>0.024</v>
      </c>
      <c r="Y6" s="133">
        <f aca="true" t="shared" si="1" ref="Y6:Y19">AVERAGE(E6/E$19,J6/J$19,O6/O$19)</f>
        <v>0.012</v>
      </c>
      <c r="Z6" s="133"/>
      <c r="AA6" s="133">
        <f aca="true" t="shared" si="2" ref="AA6:AA18">AVERAGE(H6/G$19,M6/L$19,R6/Q$19)</f>
        <v>0.057</v>
      </c>
      <c r="AB6" s="145">
        <f aca="true" t="shared" si="3" ref="AB6:AB19">AVERAGE(H6/H$19,M6/M$19,R6/R$19)</f>
        <v>0.046</v>
      </c>
      <c r="AC6" s="218">
        <v>11</v>
      </c>
      <c r="AD6" s="164"/>
      <c r="AE6" s="216">
        <v>18</v>
      </c>
      <c r="AF6" s="213">
        <v>70</v>
      </c>
      <c r="AG6" s="172">
        <f>AC6*Y6+AD6*Z6+AE6*AA6+AF6*AB6</f>
        <v>4.378</v>
      </c>
      <c r="AH6" s="174">
        <f>(AG6/'расчет дотации'!E7)</f>
        <v>0.0086012</v>
      </c>
      <c r="AI6" s="174">
        <f aca="true" t="shared" si="4" ref="AI6:AI17">((AG6/C6)/(AG$19/$C$19))/AJ6</f>
        <v>0.4314107</v>
      </c>
      <c r="AJ6" s="175">
        <f>'расчет дотации'!M7</f>
        <v>1.0378</v>
      </c>
    </row>
    <row r="7" spans="1:36" s="135" customFormat="1" ht="16.5" customHeight="1" thickBot="1">
      <c r="A7" s="109">
        <f aca="true" t="shared" si="5" ref="A7:A15">A6+1</f>
        <v>2</v>
      </c>
      <c r="B7" s="143" t="s">
        <v>65</v>
      </c>
      <c r="C7" s="132">
        <v>512</v>
      </c>
      <c r="D7" s="163">
        <v>977889.8</v>
      </c>
      <c r="E7" s="161">
        <v>69408.6</v>
      </c>
      <c r="F7" s="162"/>
      <c r="G7" s="161">
        <v>23633.4</v>
      </c>
      <c r="H7" s="161">
        <v>854.3</v>
      </c>
      <c r="I7" s="208">
        <v>652848.1</v>
      </c>
      <c r="J7" s="209">
        <v>19840.5</v>
      </c>
      <c r="K7" s="210"/>
      <c r="L7" s="209">
        <v>42265.8</v>
      </c>
      <c r="M7" s="209">
        <v>102181.6</v>
      </c>
      <c r="N7" s="208">
        <v>652848.1</v>
      </c>
      <c r="O7" s="209">
        <v>36552</v>
      </c>
      <c r="P7" s="210"/>
      <c r="Q7" s="209">
        <v>38864</v>
      </c>
      <c r="R7" s="209">
        <v>97388</v>
      </c>
      <c r="S7" s="208">
        <v>652848.1</v>
      </c>
      <c r="T7" s="209">
        <v>7830</v>
      </c>
      <c r="U7" s="210"/>
      <c r="V7" s="209">
        <v>30444</v>
      </c>
      <c r="W7" s="209">
        <v>93029</v>
      </c>
      <c r="X7" s="133">
        <f t="shared" si="0"/>
        <v>0.025</v>
      </c>
      <c r="Y7" s="133">
        <f t="shared" si="1"/>
        <v>0.01</v>
      </c>
      <c r="Z7" s="133"/>
      <c r="AA7" s="133">
        <f t="shared" si="2"/>
        <v>0.064</v>
      </c>
      <c r="AB7" s="145">
        <f t="shared" si="3"/>
        <v>0.028</v>
      </c>
      <c r="AC7" s="218">
        <v>7</v>
      </c>
      <c r="AD7" s="164"/>
      <c r="AE7" s="216">
        <v>15</v>
      </c>
      <c r="AF7" s="213">
        <v>85</v>
      </c>
      <c r="AG7" s="172">
        <f aca="true" t="shared" si="6" ref="AG7:AG17">AC7*Y7+AD7*Z7+AE7*AA7+AF7*AB7</f>
        <v>3.41</v>
      </c>
      <c r="AH7" s="174">
        <f aca="true" t="shared" si="7" ref="AH7:AH19">(AG7/C7)</f>
        <v>0.0066602</v>
      </c>
      <c r="AI7" s="174">
        <f t="shared" si="4"/>
        <v>0.3767808</v>
      </c>
      <c r="AJ7" s="175">
        <f>'расчет дотации'!M8</f>
        <v>0.94</v>
      </c>
    </row>
    <row r="8" spans="1:36" s="135" customFormat="1" ht="15" customHeight="1" thickBot="1">
      <c r="A8" s="109">
        <f t="shared" si="5"/>
        <v>3</v>
      </c>
      <c r="B8" s="143" t="s">
        <v>66</v>
      </c>
      <c r="C8" s="132">
        <v>526</v>
      </c>
      <c r="D8" s="163">
        <v>1152380.7</v>
      </c>
      <c r="E8" s="161">
        <v>68506.2</v>
      </c>
      <c r="F8" s="162"/>
      <c r="G8" s="161">
        <v>28723.2</v>
      </c>
      <c r="H8" s="161">
        <v>5542.8</v>
      </c>
      <c r="I8" s="208">
        <v>730158.9</v>
      </c>
      <c r="J8" s="209">
        <v>65544.8</v>
      </c>
      <c r="K8" s="210"/>
      <c r="L8" s="209">
        <v>44045.6</v>
      </c>
      <c r="M8" s="209">
        <v>93859.7</v>
      </c>
      <c r="N8" s="208">
        <v>730158.9</v>
      </c>
      <c r="O8" s="209">
        <v>74668</v>
      </c>
      <c r="P8" s="210"/>
      <c r="Q8" s="209">
        <v>49764</v>
      </c>
      <c r="R8" s="209">
        <v>103524</v>
      </c>
      <c r="S8" s="208">
        <v>730158.9</v>
      </c>
      <c r="T8" s="209">
        <v>152544</v>
      </c>
      <c r="U8" s="210"/>
      <c r="V8" s="209">
        <v>39898</v>
      </c>
      <c r="W8" s="209">
        <v>95163</v>
      </c>
      <c r="X8" s="133">
        <f t="shared" si="0"/>
        <v>0.029</v>
      </c>
      <c r="Y8" s="133">
        <f t="shared" si="1"/>
        <v>0.015</v>
      </c>
      <c r="Z8" s="133"/>
      <c r="AA8" s="133">
        <f t="shared" si="2"/>
        <v>0.066</v>
      </c>
      <c r="AB8" s="145">
        <f t="shared" si="3"/>
        <v>0.033</v>
      </c>
      <c r="AC8" s="218">
        <v>170</v>
      </c>
      <c r="AD8" s="164"/>
      <c r="AE8" s="216">
        <v>11</v>
      </c>
      <c r="AF8" s="213">
        <v>85</v>
      </c>
      <c r="AG8" s="172">
        <f t="shared" si="6"/>
        <v>6.081</v>
      </c>
      <c r="AH8" s="174">
        <f t="shared" si="7"/>
        <v>0.0115608</v>
      </c>
      <c r="AI8" s="174">
        <f t="shared" si="4"/>
        <v>0.647412</v>
      </c>
      <c r="AJ8" s="175">
        <f>'расчет дотации'!M9</f>
        <v>0.9496</v>
      </c>
    </row>
    <row r="9" spans="1:36" s="135" customFormat="1" ht="15.75" customHeight="1" thickBot="1">
      <c r="A9" s="109">
        <f t="shared" si="5"/>
        <v>4</v>
      </c>
      <c r="B9" s="143" t="s">
        <v>67</v>
      </c>
      <c r="C9" s="132">
        <v>472</v>
      </c>
      <c r="D9" s="163">
        <v>1262860</v>
      </c>
      <c r="E9" s="161">
        <v>67880.4</v>
      </c>
      <c r="F9" s="162"/>
      <c r="G9" s="161">
        <v>33403.3</v>
      </c>
      <c r="H9" s="161">
        <v>6680.9</v>
      </c>
      <c r="I9" s="208">
        <v>658926.1</v>
      </c>
      <c r="J9" s="209">
        <v>72337.9</v>
      </c>
      <c r="K9" s="210"/>
      <c r="L9" s="209">
        <v>48470.3</v>
      </c>
      <c r="M9" s="209">
        <v>103138.2</v>
      </c>
      <c r="N9" s="208">
        <v>658926.1</v>
      </c>
      <c r="O9" s="209">
        <v>90158</v>
      </c>
      <c r="P9" s="210"/>
      <c r="Q9" s="209">
        <v>45852</v>
      </c>
      <c r="R9" s="209">
        <v>106098</v>
      </c>
      <c r="S9" s="208">
        <v>658926.1</v>
      </c>
      <c r="T9" s="209">
        <v>17334</v>
      </c>
      <c r="U9" s="210"/>
      <c r="V9" s="209">
        <v>40713</v>
      </c>
      <c r="W9" s="209">
        <v>92273</v>
      </c>
      <c r="X9" s="133">
        <f t="shared" si="0"/>
        <v>0.029</v>
      </c>
      <c r="Y9" s="133">
        <f t="shared" si="1"/>
        <v>0.016</v>
      </c>
      <c r="Z9" s="133"/>
      <c r="AA9" s="133">
        <f t="shared" si="2"/>
        <v>0.071</v>
      </c>
      <c r="AB9" s="145">
        <f t="shared" si="3"/>
        <v>0.035</v>
      </c>
      <c r="AC9" s="218">
        <v>13</v>
      </c>
      <c r="AD9" s="164"/>
      <c r="AE9" s="216">
        <v>20</v>
      </c>
      <c r="AF9" s="213">
        <v>49</v>
      </c>
      <c r="AG9" s="172">
        <f t="shared" si="6"/>
        <v>3.343</v>
      </c>
      <c r="AH9" s="174">
        <f t="shared" si="7"/>
        <v>0.0070826</v>
      </c>
      <c r="AI9" s="174">
        <f t="shared" si="4"/>
        <v>0.3777734</v>
      </c>
      <c r="AJ9" s="175">
        <f>'расчет дотации'!M10</f>
        <v>0.997</v>
      </c>
    </row>
    <row r="10" spans="1:36" s="135" customFormat="1" ht="15.75" customHeight="1" thickBot="1">
      <c r="A10" s="109">
        <f t="shared" si="5"/>
        <v>5</v>
      </c>
      <c r="B10" s="143" t="s">
        <v>68</v>
      </c>
      <c r="C10" s="132">
        <v>846</v>
      </c>
      <c r="D10" s="163">
        <v>1770124</v>
      </c>
      <c r="E10" s="161">
        <v>229978.1</v>
      </c>
      <c r="F10" s="162"/>
      <c r="G10" s="161">
        <v>33713.5</v>
      </c>
      <c r="H10" s="161">
        <v>3770.8</v>
      </c>
      <c r="I10" s="208">
        <v>1137995.4</v>
      </c>
      <c r="J10" s="209">
        <v>140477.5</v>
      </c>
      <c r="K10" s="210"/>
      <c r="L10" s="209">
        <v>55688.2</v>
      </c>
      <c r="M10" s="209">
        <v>53176.8</v>
      </c>
      <c r="N10" s="208">
        <v>1137995.4</v>
      </c>
      <c r="O10" s="209">
        <v>323093</v>
      </c>
      <c r="P10" s="210"/>
      <c r="Q10" s="209">
        <v>50378</v>
      </c>
      <c r="R10" s="209">
        <v>49690</v>
      </c>
      <c r="S10" s="208">
        <v>1137995.4</v>
      </c>
      <c r="T10" s="209">
        <v>37226</v>
      </c>
      <c r="U10" s="210"/>
      <c r="V10" s="209">
        <v>46011</v>
      </c>
      <c r="W10" s="209">
        <v>55107</v>
      </c>
      <c r="X10" s="133">
        <f t="shared" si="0"/>
        <v>0.044</v>
      </c>
      <c r="Y10" s="133">
        <f t="shared" si="1"/>
        <v>0.048</v>
      </c>
      <c r="Z10" s="133"/>
      <c r="AA10" s="133">
        <f t="shared" si="2"/>
        <v>0.035</v>
      </c>
      <c r="AB10" s="145">
        <f t="shared" si="3"/>
        <v>0.018</v>
      </c>
      <c r="AC10" s="218">
        <v>40</v>
      </c>
      <c r="AD10" s="164"/>
      <c r="AE10" s="216">
        <v>18</v>
      </c>
      <c r="AF10" s="213">
        <v>40</v>
      </c>
      <c r="AG10" s="172">
        <f t="shared" si="6"/>
        <v>3.27</v>
      </c>
      <c r="AH10" s="174">
        <f t="shared" si="7"/>
        <v>0.0038652</v>
      </c>
      <c r="AI10" s="174">
        <f t="shared" si="4"/>
        <v>0.1860147</v>
      </c>
      <c r="AJ10" s="175">
        <f>'расчет дотации'!M11</f>
        <v>1.105</v>
      </c>
    </row>
    <row r="11" spans="1:36" s="135" customFormat="1" ht="15" customHeight="1" thickBot="1">
      <c r="A11" s="109">
        <f t="shared" si="5"/>
        <v>6</v>
      </c>
      <c r="B11" s="143" t="s">
        <v>69</v>
      </c>
      <c r="C11" s="132">
        <v>551</v>
      </c>
      <c r="D11" s="163">
        <v>1024786.5</v>
      </c>
      <c r="E11" s="161">
        <v>48146</v>
      </c>
      <c r="F11" s="162"/>
      <c r="G11" s="161">
        <v>17427.2</v>
      </c>
      <c r="H11" s="161">
        <v>6362.7</v>
      </c>
      <c r="I11" s="208">
        <v>430841.6</v>
      </c>
      <c r="J11" s="209">
        <v>54129.8</v>
      </c>
      <c r="K11" s="210"/>
      <c r="L11" s="209">
        <v>38537.7</v>
      </c>
      <c r="M11" s="209">
        <v>72048.2</v>
      </c>
      <c r="N11" s="208">
        <v>430841.6</v>
      </c>
      <c r="O11" s="209">
        <v>63553</v>
      </c>
      <c r="P11" s="210"/>
      <c r="Q11" s="209">
        <v>31012</v>
      </c>
      <c r="R11" s="209">
        <v>82675</v>
      </c>
      <c r="S11" s="208">
        <v>430841.6</v>
      </c>
      <c r="T11" s="209">
        <v>13726</v>
      </c>
      <c r="U11" s="210"/>
      <c r="V11" s="209">
        <v>28645</v>
      </c>
      <c r="W11" s="209">
        <v>75890</v>
      </c>
      <c r="X11" s="133">
        <f t="shared" si="0"/>
        <v>0.021</v>
      </c>
      <c r="Y11" s="133">
        <f t="shared" si="1"/>
        <v>0.011</v>
      </c>
      <c r="Z11" s="133"/>
      <c r="AA11" s="133">
        <f t="shared" si="2"/>
        <v>0.053</v>
      </c>
      <c r="AB11" s="145">
        <f t="shared" si="3"/>
        <v>0.028</v>
      </c>
      <c r="AC11" s="218">
        <v>11</v>
      </c>
      <c r="AD11" s="164"/>
      <c r="AE11" s="216">
        <v>19</v>
      </c>
      <c r="AF11" s="213">
        <v>70</v>
      </c>
      <c r="AG11" s="172">
        <f t="shared" si="6"/>
        <v>3.088</v>
      </c>
      <c r="AH11" s="174">
        <f t="shared" si="7"/>
        <v>0.0056044</v>
      </c>
      <c r="AI11" s="174">
        <f t="shared" si="4"/>
        <v>0.3148411</v>
      </c>
      <c r="AJ11" s="175">
        <f>'расчет дотации'!M12</f>
        <v>0.9466</v>
      </c>
    </row>
    <row r="12" spans="1:36" s="135" customFormat="1" ht="13.5" customHeight="1" thickBot="1">
      <c r="A12" s="109">
        <f t="shared" si="5"/>
        <v>7</v>
      </c>
      <c r="B12" s="143" t="s">
        <v>70</v>
      </c>
      <c r="C12" s="132">
        <v>723</v>
      </c>
      <c r="D12" s="163">
        <v>1271117</v>
      </c>
      <c r="E12" s="161">
        <v>61068.4</v>
      </c>
      <c r="F12" s="162"/>
      <c r="G12" s="161">
        <v>29993</v>
      </c>
      <c r="H12" s="161">
        <v>12528.7</v>
      </c>
      <c r="I12" s="208">
        <v>573717.3</v>
      </c>
      <c r="J12" s="209">
        <v>37158.4</v>
      </c>
      <c r="K12" s="210"/>
      <c r="L12" s="209">
        <v>50393.5</v>
      </c>
      <c r="M12" s="209">
        <v>155799.6</v>
      </c>
      <c r="N12" s="208">
        <v>573717.3</v>
      </c>
      <c r="O12" s="209">
        <v>77948</v>
      </c>
      <c r="P12" s="210"/>
      <c r="Q12" s="209">
        <v>54387</v>
      </c>
      <c r="R12" s="209">
        <v>165972</v>
      </c>
      <c r="S12" s="208">
        <v>573717.3</v>
      </c>
      <c r="T12" s="209">
        <v>15168</v>
      </c>
      <c r="U12" s="210"/>
      <c r="V12" s="209">
        <v>36313</v>
      </c>
      <c r="W12" s="209">
        <v>108674</v>
      </c>
      <c r="X12" s="133">
        <f t="shared" si="0"/>
        <v>0.027</v>
      </c>
      <c r="Y12" s="133">
        <f t="shared" si="1"/>
        <v>0.012</v>
      </c>
      <c r="Z12" s="133"/>
      <c r="AA12" s="133">
        <f t="shared" si="2"/>
        <v>0.11</v>
      </c>
      <c r="AB12" s="145">
        <f t="shared" si="3"/>
        <v>0.057</v>
      </c>
      <c r="AC12" s="218">
        <v>11</v>
      </c>
      <c r="AD12" s="164"/>
      <c r="AE12" s="216">
        <v>26</v>
      </c>
      <c r="AF12" s="213">
        <v>100</v>
      </c>
      <c r="AG12" s="172">
        <f t="shared" si="6"/>
        <v>8.692</v>
      </c>
      <c r="AH12" s="174">
        <f t="shared" si="7"/>
        <v>0.0120221</v>
      </c>
      <c r="AI12" s="174">
        <f t="shared" si="4"/>
        <v>0.6728195</v>
      </c>
      <c r="AJ12" s="175">
        <f>'расчет дотации'!M13</f>
        <v>0.9502</v>
      </c>
    </row>
    <row r="13" spans="1:36" s="135" customFormat="1" ht="15.75" customHeight="1" thickBot="1">
      <c r="A13" s="109">
        <f t="shared" si="5"/>
        <v>8</v>
      </c>
      <c r="B13" s="143" t="s">
        <v>71</v>
      </c>
      <c r="C13" s="132">
        <v>1369</v>
      </c>
      <c r="D13" s="163">
        <v>2728458</v>
      </c>
      <c r="E13" s="161">
        <v>137128.5</v>
      </c>
      <c r="F13" s="162"/>
      <c r="G13" s="161">
        <v>38839.1</v>
      </c>
      <c r="H13" s="161">
        <v>17619.2</v>
      </c>
      <c r="I13" s="208">
        <v>1189169.3</v>
      </c>
      <c r="J13" s="209">
        <v>197697.5</v>
      </c>
      <c r="K13" s="210"/>
      <c r="L13" s="209">
        <v>97272</v>
      </c>
      <c r="M13" s="209">
        <v>135026.1</v>
      </c>
      <c r="N13" s="208">
        <v>1189169.3</v>
      </c>
      <c r="O13" s="209">
        <v>185614</v>
      </c>
      <c r="P13" s="210"/>
      <c r="Q13" s="209">
        <v>73887</v>
      </c>
      <c r="R13" s="209">
        <v>141099</v>
      </c>
      <c r="S13" s="208">
        <v>1189169.3</v>
      </c>
      <c r="T13" s="209">
        <v>38076</v>
      </c>
      <c r="U13" s="210"/>
      <c r="V13" s="209">
        <v>82859</v>
      </c>
      <c r="W13" s="209">
        <v>159681</v>
      </c>
      <c r="X13" s="133">
        <f t="shared" si="0"/>
        <v>0.058</v>
      </c>
      <c r="Y13" s="133">
        <f t="shared" si="1"/>
        <v>0.035</v>
      </c>
      <c r="Z13" s="133"/>
      <c r="AA13" s="133">
        <f t="shared" si="2"/>
        <v>0.099</v>
      </c>
      <c r="AB13" s="145">
        <f t="shared" si="3"/>
        <v>0.056</v>
      </c>
      <c r="AC13" s="218">
        <v>34</v>
      </c>
      <c r="AD13" s="164"/>
      <c r="AE13" s="216">
        <v>65</v>
      </c>
      <c r="AF13" s="213">
        <v>95</v>
      </c>
      <c r="AG13" s="172">
        <f t="shared" si="6"/>
        <v>12.945</v>
      </c>
      <c r="AH13" s="174">
        <f t="shared" si="7"/>
        <v>0.0094558</v>
      </c>
      <c r="AI13" s="174">
        <f t="shared" si="4"/>
        <v>0.4538277</v>
      </c>
      <c r="AJ13" s="175">
        <f>'расчет дотации'!M14</f>
        <v>1.108</v>
      </c>
    </row>
    <row r="14" spans="1:36" s="135" customFormat="1" ht="15" customHeight="1" thickBot="1">
      <c r="A14" s="109">
        <f t="shared" si="5"/>
        <v>9</v>
      </c>
      <c r="B14" s="143" t="s">
        <v>72</v>
      </c>
      <c r="C14" s="132">
        <v>721</v>
      </c>
      <c r="D14" s="163">
        <v>1234967.6</v>
      </c>
      <c r="E14" s="161">
        <v>74595.8</v>
      </c>
      <c r="F14" s="162"/>
      <c r="G14" s="161">
        <v>29913.5</v>
      </c>
      <c r="H14" s="161">
        <v>11131.8</v>
      </c>
      <c r="I14" s="208">
        <v>640067.1</v>
      </c>
      <c r="J14" s="209">
        <v>68375.7</v>
      </c>
      <c r="K14" s="210"/>
      <c r="L14" s="209">
        <v>35202.8</v>
      </c>
      <c r="M14" s="209">
        <v>108509</v>
      </c>
      <c r="N14" s="208">
        <v>640067.1</v>
      </c>
      <c r="O14" s="209">
        <v>94526</v>
      </c>
      <c r="P14" s="210"/>
      <c r="Q14" s="209">
        <v>41517</v>
      </c>
      <c r="R14" s="209">
        <v>141179</v>
      </c>
      <c r="S14" s="208">
        <v>640067.1</v>
      </c>
      <c r="T14" s="209">
        <v>18113</v>
      </c>
      <c r="U14" s="210"/>
      <c r="V14" s="209">
        <v>29736</v>
      </c>
      <c r="W14" s="209">
        <v>128644</v>
      </c>
      <c r="X14" s="133">
        <f t="shared" si="0"/>
        <v>0.028</v>
      </c>
      <c r="Y14" s="133">
        <f t="shared" si="1"/>
        <v>0.016</v>
      </c>
      <c r="Z14" s="133"/>
      <c r="AA14" s="133">
        <f t="shared" si="2"/>
        <v>0.086</v>
      </c>
      <c r="AB14" s="145">
        <f t="shared" si="3"/>
        <v>0.046</v>
      </c>
      <c r="AC14" s="218">
        <v>20</v>
      </c>
      <c r="AD14" s="164"/>
      <c r="AE14" s="216">
        <v>20</v>
      </c>
      <c r="AF14" s="213">
        <v>120</v>
      </c>
      <c r="AG14" s="172">
        <f t="shared" si="6"/>
        <v>7.56</v>
      </c>
      <c r="AH14" s="174">
        <f t="shared" si="7"/>
        <v>0.0104854</v>
      </c>
      <c r="AI14" s="174">
        <f t="shared" si="4"/>
        <v>0.5713061</v>
      </c>
      <c r="AJ14" s="175">
        <f>'расчет дотации'!M15</f>
        <v>0.976</v>
      </c>
    </row>
    <row r="15" spans="1:36" s="135" customFormat="1" ht="15.75" customHeight="1" thickBot="1">
      <c r="A15" s="109">
        <f t="shared" si="5"/>
        <v>10</v>
      </c>
      <c r="B15" s="143" t="s">
        <v>73</v>
      </c>
      <c r="C15" s="132">
        <v>283</v>
      </c>
      <c r="D15" s="163">
        <v>813879.1</v>
      </c>
      <c r="E15" s="161">
        <v>73452.1</v>
      </c>
      <c r="F15" s="162"/>
      <c r="G15" s="161">
        <v>12144.6</v>
      </c>
      <c r="H15" s="161">
        <v>27300.6</v>
      </c>
      <c r="I15" s="208">
        <v>452868.4</v>
      </c>
      <c r="J15" s="209">
        <v>51280.4</v>
      </c>
      <c r="K15" s="210"/>
      <c r="L15" s="209">
        <v>15687.5</v>
      </c>
      <c r="M15" s="209">
        <v>8258.2</v>
      </c>
      <c r="N15" s="208">
        <v>452868.4</v>
      </c>
      <c r="O15" s="209">
        <v>67624</v>
      </c>
      <c r="P15" s="210"/>
      <c r="Q15" s="209">
        <v>14955</v>
      </c>
      <c r="R15" s="209">
        <v>10608</v>
      </c>
      <c r="S15" s="208">
        <v>452868.4</v>
      </c>
      <c r="T15" s="209">
        <v>13130</v>
      </c>
      <c r="U15" s="210"/>
      <c r="V15" s="209">
        <v>12978</v>
      </c>
      <c r="W15" s="209">
        <v>10375</v>
      </c>
      <c r="X15" s="133">
        <f t="shared" si="0"/>
        <v>0.019</v>
      </c>
      <c r="Y15" s="133">
        <f t="shared" si="1"/>
        <v>0.014</v>
      </c>
      <c r="Z15" s="133"/>
      <c r="AA15" s="133">
        <f t="shared" si="2"/>
        <v>0.023</v>
      </c>
      <c r="AB15" s="145">
        <f t="shared" si="3"/>
        <v>0.033</v>
      </c>
      <c r="AC15" s="218">
        <v>12</v>
      </c>
      <c r="AD15" s="164"/>
      <c r="AE15" s="216">
        <v>3</v>
      </c>
      <c r="AF15" s="213">
        <v>10</v>
      </c>
      <c r="AG15" s="172">
        <f t="shared" si="6"/>
        <v>0.567</v>
      </c>
      <c r="AH15" s="174">
        <f t="shared" si="7"/>
        <v>0.0020035</v>
      </c>
      <c r="AI15" s="174">
        <f t="shared" si="4"/>
        <v>0.1147361</v>
      </c>
      <c r="AJ15" s="175">
        <f>'расчет дотации'!M16</f>
        <v>0.9286</v>
      </c>
    </row>
    <row r="16" spans="1:36" s="135" customFormat="1" ht="15" customHeight="1" thickBot="1">
      <c r="A16" s="109">
        <v>11</v>
      </c>
      <c r="B16" s="143" t="s">
        <v>74</v>
      </c>
      <c r="C16" s="132">
        <v>2046</v>
      </c>
      <c r="D16" s="163">
        <v>2907637</v>
      </c>
      <c r="E16" s="161">
        <v>265027.1</v>
      </c>
      <c r="F16" s="162"/>
      <c r="G16" s="161">
        <v>50500.4</v>
      </c>
      <c r="H16" s="161">
        <v>157925.2</v>
      </c>
      <c r="I16" s="208">
        <v>2577543.3</v>
      </c>
      <c r="J16" s="209">
        <v>383895.8</v>
      </c>
      <c r="K16" s="210"/>
      <c r="L16" s="209">
        <v>94751.7</v>
      </c>
      <c r="M16" s="209">
        <v>627666.2</v>
      </c>
      <c r="N16" s="208">
        <v>2577543.3</v>
      </c>
      <c r="O16" s="209">
        <v>425163</v>
      </c>
      <c r="P16" s="210"/>
      <c r="Q16" s="209">
        <v>114584</v>
      </c>
      <c r="R16" s="209">
        <v>580808</v>
      </c>
      <c r="S16" s="208">
        <v>2577543.3</v>
      </c>
      <c r="T16" s="209">
        <v>83213</v>
      </c>
      <c r="U16" s="210"/>
      <c r="V16" s="209">
        <v>90191</v>
      </c>
      <c r="W16" s="209">
        <v>552383</v>
      </c>
      <c r="X16" s="133">
        <f t="shared" si="0"/>
        <v>0.086</v>
      </c>
      <c r="Y16" s="133">
        <f t="shared" si="1"/>
        <v>0.072</v>
      </c>
      <c r="Z16" s="133"/>
      <c r="AA16" s="133">
        <f t="shared" si="2"/>
        <v>0.486</v>
      </c>
      <c r="AB16" s="145">
        <f t="shared" si="3"/>
        <v>0.336</v>
      </c>
      <c r="AC16" s="218">
        <v>70</v>
      </c>
      <c r="AD16" s="164"/>
      <c r="AE16" s="216">
        <v>168</v>
      </c>
      <c r="AF16" s="213">
        <v>400</v>
      </c>
      <c r="AG16" s="172">
        <f t="shared" si="6"/>
        <v>221.088</v>
      </c>
      <c r="AH16" s="174">
        <f t="shared" si="7"/>
        <v>0.1080587</v>
      </c>
      <c r="AI16" s="174">
        <f t="shared" si="4"/>
        <v>5.7740607</v>
      </c>
      <c r="AJ16" s="175">
        <f>'расчет дотации'!M17</f>
        <v>0.9952</v>
      </c>
    </row>
    <row r="17" spans="1:36" s="135" customFormat="1" ht="15.75" customHeight="1" thickBot="1">
      <c r="A17" s="109">
        <v>12</v>
      </c>
      <c r="B17" s="143" t="s">
        <v>75</v>
      </c>
      <c r="C17" s="132">
        <v>870</v>
      </c>
      <c r="D17" s="163">
        <v>1455043.6</v>
      </c>
      <c r="E17" s="161">
        <v>99718</v>
      </c>
      <c r="F17" s="162"/>
      <c r="G17" s="161">
        <v>32277.8</v>
      </c>
      <c r="H17" s="161">
        <v>5212.3</v>
      </c>
      <c r="I17" s="208">
        <v>837065.3</v>
      </c>
      <c r="J17" s="209">
        <v>54246.5</v>
      </c>
      <c r="K17" s="210"/>
      <c r="L17" s="209">
        <v>60492.6</v>
      </c>
      <c r="M17" s="209">
        <v>109396.3</v>
      </c>
      <c r="N17" s="208">
        <v>837065.3</v>
      </c>
      <c r="O17" s="209">
        <v>86239</v>
      </c>
      <c r="P17" s="210"/>
      <c r="Q17" s="209">
        <v>58512</v>
      </c>
      <c r="R17" s="209">
        <v>183838</v>
      </c>
      <c r="S17" s="208">
        <v>837065.3</v>
      </c>
      <c r="T17" s="209">
        <v>14896</v>
      </c>
      <c r="U17" s="210"/>
      <c r="V17" s="209">
        <v>49900</v>
      </c>
      <c r="W17" s="209">
        <v>179594</v>
      </c>
      <c r="X17" s="133">
        <f t="shared" si="0"/>
        <v>0.035</v>
      </c>
      <c r="Y17" s="133">
        <f t="shared" si="1"/>
        <v>0.018</v>
      </c>
      <c r="Z17" s="133"/>
      <c r="AA17" s="133">
        <f t="shared" si="2"/>
        <v>0.095</v>
      </c>
      <c r="AB17" s="145">
        <f t="shared" si="3"/>
        <v>0.045</v>
      </c>
      <c r="AC17" s="218">
        <v>15</v>
      </c>
      <c r="AD17" s="164"/>
      <c r="AE17" s="216">
        <v>27</v>
      </c>
      <c r="AF17" s="213">
        <v>140</v>
      </c>
      <c r="AG17" s="172">
        <f t="shared" si="6"/>
        <v>9.135</v>
      </c>
      <c r="AH17" s="174">
        <f t="shared" si="7"/>
        <v>0.0105</v>
      </c>
      <c r="AI17" s="174">
        <f t="shared" si="4"/>
        <v>0.6230409</v>
      </c>
      <c r="AJ17" s="175">
        <f>'расчет дотации'!M18</f>
        <v>0.8962</v>
      </c>
    </row>
    <row r="18" spans="1:36" s="135" customFormat="1" ht="18.75" customHeight="1" thickBot="1">
      <c r="A18" s="109"/>
      <c r="B18" s="143" t="s">
        <v>76</v>
      </c>
      <c r="C18" s="132">
        <v>5640</v>
      </c>
      <c r="D18" s="163">
        <v>7806840.6</v>
      </c>
      <c r="E18" s="161">
        <v>2201042.4</v>
      </c>
      <c r="F18" s="162"/>
      <c r="G18" s="161">
        <v>180754</v>
      </c>
      <c r="H18" s="161">
        <v>20629.1</v>
      </c>
      <c r="I18" s="208">
        <v>25582554.9</v>
      </c>
      <c r="J18" s="209">
        <v>4256487.7</v>
      </c>
      <c r="K18" s="210"/>
      <c r="L18" s="209">
        <v>351655.6</v>
      </c>
      <c r="M18" s="209">
        <v>818359.4</v>
      </c>
      <c r="N18" s="208">
        <v>25582554.9</v>
      </c>
      <c r="O18" s="209">
        <v>4655628</v>
      </c>
      <c r="P18" s="210"/>
      <c r="Q18" s="209">
        <v>497762</v>
      </c>
      <c r="R18" s="209">
        <v>790854</v>
      </c>
      <c r="S18" s="208">
        <v>25582554.9</v>
      </c>
      <c r="T18" s="209">
        <v>981892</v>
      </c>
      <c r="U18" s="210"/>
      <c r="V18" s="209">
        <v>398793</v>
      </c>
      <c r="W18" s="209">
        <v>940414</v>
      </c>
      <c r="X18" s="133">
        <f t="shared" si="0"/>
        <v>0.576</v>
      </c>
      <c r="Y18" s="133">
        <f t="shared" si="1"/>
        <v>0.721</v>
      </c>
      <c r="Z18" s="133"/>
      <c r="AA18" s="133">
        <f t="shared" si="2"/>
        <v>0.528</v>
      </c>
      <c r="AB18" s="145">
        <f t="shared" si="3"/>
        <v>0.239</v>
      </c>
      <c r="AC18" s="218">
        <v>930.3</v>
      </c>
      <c r="AD18" s="164"/>
      <c r="AE18" s="216">
        <v>507</v>
      </c>
      <c r="AF18" s="214">
        <v>820</v>
      </c>
      <c r="AG18" s="172">
        <f>AC18*Y18+AD18*Z18+AE18*AA18+AF18*AB18</f>
        <v>1134.4223</v>
      </c>
      <c r="AH18" s="174">
        <f>(AG18/C18)</f>
        <v>0.2011387</v>
      </c>
      <c r="AI18" s="174">
        <f>((AG18/C18)/(AG$19/$C$19))/AJ18</f>
        <v>8.4701918</v>
      </c>
      <c r="AJ18" s="175">
        <f>'расчет дотации'!M19</f>
        <v>1.2628</v>
      </c>
    </row>
    <row r="19" spans="1:36" ht="16.5" thickBot="1">
      <c r="A19" s="111"/>
      <c r="B19" s="28" t="s">
        <v>32</v>
      </c>
      <c r="C19" s="114">
        <f>SUM(C6:C18)</f>
        <v>15079</v>
      </c>
      <c r="D19" s="165">
        <f>SUM(D6:D18)</f>
        <v>25546908.9</v>
      </c>
      <c r="E19" s="165">
        <f>SUM(E6:E18)</f>
        <v>3447249.5</v>
      </c>
      <c r="F19" s="165">
        <f>SUM(F6:F17)</f>
        <v>0</v>
      </c>
      <c r="G19" s="165">
        <f>SUM(G6:G18)</f>
        <v>530085.5</v>
      </c>
      <c r="H19" s="165">
        <f>SUM(H6:H18)</f>
        <v>302341.6</v>
      </c>
      <c r="I19" s="211">
        <f>SUM(I6:I18)</f>
        <v>35947667.7</v>
      </c>
      <c r="J19" s="212">
        <f>SUM(J6:J18)</f>
        <v>5466287.6</v>
      </c>
      <c r="K19" s="212">
        <f>SUM(K6:K17)</f>
        <v>0</v>
      </c>
      <c r="L19" s="212">
        <f>SUM(L6:L18)</f>
        <v>972730</v>
      </c>
      <c r="M19" s="212">
        <f>SUM(M6:M18)</f>
        <v>2445944.6</v>
      </c>
      <c r="N19" s="211">
        <f>SUM(N6:N18)</f>
        <v>35947667.7</v>
      </c>
      <c r="O19" s="212">
        <f>SUM(O6:O18)</f>
        <v>6247280</v>
      </c>
      <c r="P19" s="212">
        <f>SUM(P6:P17)</f>
        <v>0</v>
      </c>
      <c r="Q19" s="212">
        <f>SUM(Q6:Q18)</f>
        <v>1125139</v>
      </c>
      <c r="R19" s="212">
        <f>SUM(R6:R18)</f>
        <v>2520682</v>
      </c>
      <c r="S19" s="211">
        <f>SUM(S6:S18)</f>
        <v>35947667.7</v>
      </c>
      <c r="T19" s="212">
        <f>SUM(T6:T18)</f>
        <v>1406909</v>
      </c>
      <c r="U19" s="212">
        <f>SUM(U6:U17)</f>
        <v>0</v>
      </c>
      <c r="V19" s="212">
        <f>SUM(V6:V18)</f>
        <v>942167</v>
      </c>
      <c r="W19" s="212">
        <f>SUM(W6:W18)</f>
        <v>2591609</v>
      </c>
      <c r="X19" s="110">
        <f t="shared" si="0"/>
        <v>1</v>
      </c>
      <c r="Y19" s="110">
        <f t="shared" si="1"/>
        <v>1</v>
      </c>
      <c r="Z19" s="110"/>
      <c r="AA19" s="110">
        <f>AVERAGE(G19/G$19,L19/L$19,Q19/Q$19)</f>
        <v>1</v>
      </c>
      <c r="AB19" s="110">
        <f t="shared" si="3"/>
        <v>1</v>
      </c>
      <c r="AC19" s="217">
        <f>SUM(AC6:AC18)</f>
        <v>1344</v>
      </c>
      <c r="AD19" s="114"/>
      <c r="AE19" s="217">
        <f>SUM(AE6:AE18)</f>
        <v>917</v>
      </c>
      <c r="AF19" s="215">
        <f>SUM(AF6:AF18)</f>
        <v>2084</v>
      </c>
      <c r="AG19" s="173">
        <f>SUM(AG6:AG17)</f>
        <v>283.557</v>
      </c>
      <c r="AH19" s="116">
        <f t="shared" si="7"/>
        <v>0.019</v>
      </c>
      <c r="AI19" s="116">
        <f>((AG19/C19)/(AG$19/$C$19))/AJ19</f>
        <v>1</v>
      </c>
      <c r="AJ19" s="134">
        <f>'расчет дотации'!M20</f>
        <v>1</v>
      </c>
    </row>
    <row r="20" spans="14:32" ht="12.75">
      <c r="N20" s="178"/>
      <c r="AC20"/>
      <c r="AD20"/>
      <c r="AE20"/>
      <c r="AF20"/>
    </row>
    <row r="21" spans="19:32" ht="12.75">
      <c r="S21" s="179"/>
      <c r="AC21"/>
      <c r="AD21"/>
      <c r="AE21"/>
      <c r="AF21"/>
    </row>
    <row r="22" spans="24:32" ht="15.75">
      <c r="X22" s="1"/>
      <c r="Y22" s="1"/>
      <c r="Z22" s="1"/>
      <c r="AA22" s="171"/>
      <c r="AC22"/>
      <c r="AD22"/>
      <c r="AE22"/>
      <c r="AF22"/>
    </row>
    <row r="23" spans="24:32" ht="15.75">
      <c r="X23" s="1"/>
      <c r="Y23" s="1"/>
      <c r="Z23" s="1"/>
      <c r="AA23" s="1"/>
      <c r="AC23"/>
      <c r="AD23"/>
      <c r="AE23"/>
      <c r="AF23"/>
    </row>
    <row r="24" spans="12:32" ht="12.75">
      <c r="L24" s="188"/>
      <c r="N24" s="179"/>
      <c r="AC24"/>
      <c r="AD24"/>
      <c r="AE24"/>
      <c r="AF24"/>
    </row>
    <row r="25" spans="12:14" ht="12.75">
      <c r="L25" s="186"/>
      <c r="N25" s="179"/>
    </row>
    <row r="26" spans="11:14" ht="12.75">
      <c r="K26" s="186"/>
      <c r="L26" s="186"/>
      <c r="N26" s="179"/>
    </row>
    <row r="27" spans="9:14" ht="12.75">
      <c r="I27" s="186"/>
      <c r="K27" s="186"/>
      <c r="L27" s="186"/>
      <c r="N27" s="179"/>
    </row>
    <row r="28" spans="9:32" ht="18.75">
      <c r="I28" s="186"/>
      <c r="K28" s="186"/>
      <c r="L28" s="186"/>
      <c r="N28" s="179"/>
      <c r="AC28" s="112"/>
      <c r="AD28" s="112"/>
      <c r="AE28" s="112"/>
      <c r="AF28" s="112"/>
    </row>
    <row r="29" spans="3:32" ht="18.75">
      <c r="C29" s="179"/>
      <c r="I29" s="186"/>
      <c r="K29" s="186"/>
      <c r="L29" s="186"/>
      <c r="N29" s="179"/>
      <c r="AC29" s="112"/>
      <c r="AD29" s="112"/>
      <c r="AE29" s="112"/>
      <c r="AF29" s="112"/>
    </row>
    <row r="30" spans="3:32" ht="18.75">
      <c r="C30" s="179"/>
      <c r="I30" s="186"/>
      <c r="K30" s="186"/>
      <c r="L30" s="186"/>
      <c r="N30" s="179"/>
      <c r="AC30" s="112"/>
      <c r="AD30" s="112"/>
      <c r="AE30" s="112"/>
      <c r="AF30" s="112"/>
    </row>
    <row r="31" spans="3:32" ht="18.75">
      <c r="C31" s="179"/>
      <c r="I31" s="186"/>
      <c r="K31" s="186"/>
      <c r="L31" s="186"/>
      <c r="N31" s="179"/>
      <c r="AC31" s="112"/>
      <c r="AD31" s="112"/>
      <c r="AE31" s="112"/>
      <c r="AF31" s="112"/>
    </row>
    <row r="32" spans="3:32" ht="18.75">
      <c r="C32" s="179"/>
      <c r="I32" s="186"/>
      <c r="K32" s="186"/>
      <c r="L32" s="186"/>
      <c r="N32" s="179"/>
      <c r="AC32" s="112"/>
      <c r="AD32" s="112"/>
      <c r="AE32" s="112"/>
      <c r="AF32" s="112"/>
    </row>
    <row r="33" spans="3:32" ht="18.75">
      <c r="C33" s="179"/>
      <c r="I33" s="186"/>
      <c r="K33" s="186"/>
      <c r="L33" s="186"/>
      <c r="N33" s="179"/>
      <c r="AC33" s="112"/>
      <c r="AD33" s="112"/>
      <c r="AE33" s="112"/>
      <c r="AF33" s="112"/>
    </row>
    <row r="34" spans="3:32" ht="18.75">
      <c r="C34" s="179"/>
      <c r="I34" s="186"/>
      <c r="K34" s="186"/>
      <c r="L34" s="186"/>
      <c r="N34" s="179"/>
      <c r="AC34" s="112"/>
      <c r="AD34" s="112"/>
      <c r="AE34" s="112"/>
      <c r="AF34" s="112"/>
    </row>
    <row r="35" spans="3:32" ht="18.75">
      <c r="C35" s="179"/>
      <c r="I35" s="186"/>
      <c r="K35" s="186"/>
      <c r="L35" s="186"/>
      <c r="N35" s="179"/>
      <c r="AC35" s="112"/>
      <c r="AD35" s="112"/>
      <c r="AE35" s="112"/>
      <c r="AF35" s="112"/>
    </row>
    <row r="36" spans="3:32" ht="18.75">
      <c r="C36" s="179"/>
      <c r="I36" s="186"/>
      <c r="K36" s="186"/>
      <c r="L36" s="186"/>
      <c r="N36" s="179"/>
      <c r="AC36" s="112"/>
      <c r="AD36" s="112"/>
      <c r="AE36" s="112"/>
      <c r="AF36" s="112"/>
    </row>
    <row r="37" spans="3:32" ht="18.75">
      <c r="C37" s="179"/>
      <c r="I37" s="186"/>
      <c r="K37" s="186"/>
      <c r="L37" s="186"/>
      <c r="N37" s="185"/>
      <c r="AC37" s="112"/>
      <c r="AD37" s="112"/>
      <c r="AE37" s="112"/>
      <c r="AF37" s="112"/>
    </row>
    <row r="38" spans="3:32" ht="18.75">
      <c r="C38" s="179"/>
      <c r="I38" s="186"/>
      <c r="K38" s="186"/>
      <c r="L38" s="187"/>
      <c r="AC38" s="112"/>
      <c r="AD38" s="112"/>
      <c r="AE38" s="112"/>
      <c r="AF38" s="112"/>
    </row>
    <row r="39" spans="3:32" ht="18.75">
      <c r="C39" s="179"/>
      <c r="I39" s="186"/>
      <c r="K39" s="187"/>
      <c r="AC39" s="112"/>
      <c r="AD39" s="112"/>
      <c r="AE39" s="112"/>
      <c r="AF39" s="112"/>
    </row>
    <row r="40" spans="3:32" ht="18.75">
      <c r="C40" s="179"/>
      <c r="I40" s="187"/>
      <c r="AC40" s="112"/>
      <c r="AD40" s="112"/>
      <c r="AE40" s="112"/>
      <c r="AF40" s="112"/>
    </row>
    <row r="41" spans="3:32" ht="18.75">
      <c r="C41" s="179"/>
      <c r="AC41" s="112"/>
      <c r="AD41" s="112"/>
      <c r="AE41" s="112"/>
      <c r="AF41" s="112"/>
    </row>
    <row r="42" spans="3:32" ht="18.75">
      <c r="C42" s="185"/>
      <c r="AC42" s="112"/>
      <c r="AD42" s="112"/>
      <c r="AE42" s="112"/>
      <c r="AF42" s="112"/>
    </row>
    <row r="43" spans="29:32" ht="18.75">
      <c r="AC43" s="112"/>
      <c r="AD43" s="112"/>
      <c r="AE43" s="112"/>
      <c r="AF43" s="112"/>
    </row>
    <row r="44" spans="29:32" ht="18.75">
      <c r="AC44" s="112"/>
      <c r="AD44" s="112"/>
      <c r="AE44" s="112"/>
      <c r="AF44" s="112"/>
    </row>
    <row r="45" spans="29:32" ht="18.75">
      <c r="AC45" s="112"/>
      <c r="AD45" s="112"/>
      <c r="AE45" s="112"/>
      <c r="AF45" s="112"/>
    </row>
    <row r="46" spans="29:32" ht="18.75">
      <c r="AC46" s="112"/>
      <c r="AD46" s="112"/>
      <c r="AE46" s="112"/>
      <c r="AF46" s="112"/>
    </row>
    <row r="47" spans="29:32" ht="18.75">
      <c r="AC47" s="112"/>
      <c r="AD47" s="112"/>
      <c r="AE47" s="112"/>
      <c r="AF47" s="112"/>
    </row>
    <row r="48" spans="29:32" ht="18.75">
      <c r="AC48" s="112"/>
      <c r="AD48" s="112"/>
      <c r="AE48" s="112"/>
      <c r="AF48" s="112"/>
    </row>
    <row r="49" spans="29:32" ht="18.75">
      <c r="AC49" s="112"/>
      <c r="AD49" s="112"/>
      <c r="AE49" s="112"/>
      <c r="AF49" s="112"/>
    </row>
    <row r="50" spans="29:32" ht="18.75">
      <c r="AC50" s="112"/>
      <c r="AD50" s="112"/>
      <c r="AE50" s="112"/>
      <c r="AF50" s="112"/>
    </row>
    <row r="51" spans="29:32" ht="18.75">
      <c r="AC51" s="112"/>
      <c r="AD51" s="112"/>
      <c r="AE51" s="112"/>
      <c r="AF51" s="112"/>
    </row>
    <row r="52" spans="29:32" ht="18.75">
      <c r="AC52" s="112"/>
      <c r="AD52" s="112"/>
      <c r="AE52" s="112"/>
      <c r="AF52" s="112"/>
    </row>
    <row r="53" spans="29:32" ht="18.75">
      <c r="AC53" s="112"/>
      <c r="AD53" s="112"/>
      <c r="AE53" s="112"/>
      <c r="AF53" s="112"/>
    </row>
    <row r="54" spans="29:32" ht="18.75">
      <c r="AC54" s="112"/>
      <c r="AD54" s="112"/>
      <c r="AE54" s="112"/>
      <c r="AF54" s="112"/>
    </row>
    <row r="55" spans="29:32" ht="18.75">
      <c r="AC55" s="112"/>
      <c r="AD55" s="112"/>
      <c r="AE55" s="112"/>
      <c r="AF55" s="112"/>
    </row>
    <row r="56" spans="29:32" ht="18.75">
      <c r="AC56" s="112"/>
      <c r="AD56" s="112"/>
      <c r="AE56" s="112"/>
      <c r="AF56" s="112"/>
    </row>
    <row r="57" spans="29:32" ht="18.75">
      <c r="AC57" s="112"/>
      <c r="AD57" s="112"/>
      <c r="AE57" s="112"/>
      <c r="AF57" s="112"/>
    </row>
    <row r="58" spans="29:32" ht="18.75">
      <c r="AC58" s="112"/>
      <c r="AD58" s="112"/>
      <c r="AE58" s="112"/>
      <c r="AF58" s="112"/>
    </row>
    <row r="59" spans="29:32" ht="18.75">
      <c r="AC59" s="112"/>
      <c r="AD59" s="112"/>
      <c r="AE59" s="112"/>
      <c r="AF59" s="112"/>
    </row>
    <row r="60" spans="29:32" ht="18.75">
      <c r="AC60" s="112"/>
      <c r="AD60" s="112"/>
      <c r="AE60" s="112"/>
      <c r="AF60" s="112"/>
    </row>
    <row r="61" spans="29:32" ht="18.75">
      <c r="AC61" s="112"/>
      <c r="AD61" s="112"/>
      <c r="AE61" s="112"/>
      <c r="AF61" s="112"/>
    </row>
    <row r="62" spans="29:32" ht="18.75">
      <c r="AC62" s="112"/>
      <c r="AD62" s="112"/>
      <c r="AE62" s="112"/>
      <c r="AF62" s="112"/>
    </row>
    <row r="63" spans="29:32" ht="18.75">
      <c r="AC63" s="112"/>
      <c r="AD63" s="112"/>
      <c r="AE63" s="112"/>
      <c r="AF63" s="112"/>
    </row>
    <row r="64" spans="29:32" ht="18.75">
      <c r="AC64" s="112"/>
      <c r="AD64" s="112"/>
      <c r="AE64" s="112"/>
      <c r="AF64" s="112"/>
    </row>
    <row r="65" spans="29:32" ht="18.75">
      <c r="AC65" s="112"/>
      <c r="AD65" s="112"/>
      <c r="AE65" s="112"/>
      <c r="AF65" s="112"/>
    </row>
    <row r="66" spans="29:32" ht="18.75">
      <c r="AC66" s="112"/>
      <c r="AD66" s="112"/>
      <c r="AE66" s="112"/>
      <c r="AF66" s="112"/>
    </row>
  </sheetData>
  <sheetProtection/>
  <mergeCells count="12">
    <mergeCell ref="B4:B5"/>
    <mergeCell ref="A4:A5"/>
    <mergeCell ref="C4:C5"/>
    <mergeCell ref="D4:H4"/>
    <mergeCell ref="I4:M4"/>
    <mergeCell ref="S4:W4"/>
    <mergeCell ref="AJ4:AJ5"/>
    <mergeCell ref="AG4:AG5"/>
    <mergeCell ref="AH4:AH5"/>
    <mergeCell ref="AI4:AI5"/>
    <mergeCell ref="N4:R4"/>
    <mergeCell ref="X4:AB4"/>
  </mergeCells>
  <printOptions/>
  <pageMargins left="0.2" right="0.19" top="0.44" bottom="0.36" header="0.24" footer="0.16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2015-12-03T05:24:52Z</cp:lastPrinted>
  <dcterms:created xsi:type="dcterms:W3CDTF">2005-11-30T07:37:45Z</dcterms:created>
  <dcterms:modified xsi:type="dcterms:W3CDTF">2016-11-10T06:50:04Z</dcterms:modified>
  <cp:category/>
  <cp:version/>
  <cp:contentType/>
  <cp:contentStatus/>
</cp:coreProperties>
</file>